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ischerwerke.sharepoint.com/sites/Qualitaet/Freigegebene Dokumente/General/Anweisungen-Leitfaeden-Vorlagen/Vorlagen/Erstmusterprüfbericht/"/>
    </mc:Choice>
  </mc:AlternateContent>
  <xr:revisionPtr revIDLastSave="429" documentId="8_{B7689E33-FA3B-4425-B574-5650956389A4}" xr6:coauthVersionLast="46" xr6:coauthVersionMax="47" xr10:uidLastSave="{70C1E0DC-22A2-41CF-93F7-CB8F27A7C6B5}"/>
  <bookViews>
    <workbookView xWindow="-98" yWindow="-98" windowWidth="19396" windowHeight="10395" xr2:uid="{058B293B-50AE-4094-8CEC-256B794C6CF7}"/>
  </bookViews>
  <sheets>
    <sheet name="Deckblatt-Cover sheet" sheetId="1" r:id="rId1"/>
    <sheet name="Maßbericht-Dimension report" sheetId="6" r:id="rId2"/>
    <sheet name="Überprüfung-Review fischer" sheetId="10" r:id="rId3"/>
    <sheet name="Zeichnung-Drawing" sheetId="4" r:id="rId4"/>
    <sheet name="Information" sheetId="11" r:id="rId5"/>
    <sheet name="Katalog-Catalogue" sheetId="2" r:id="rId6"/>
  </sheets>
  <definedNames>
    <definedName name="_xlnm.Print_Area" localSheetId="0">'Deckblatt-Cover sheet'!$A$1:$O$34</definedName>
    <definedName name="GR">'Katalog-Catalogue'!$F$3:$F$5</definedName>
    <definedName name="Methode">'Katalog-Catalogue'!$J$76:$J$76</definedName>
    <definedName name="Pruefer">'Katalog-Catalogue'!$M$29:$M$54</definedName>
    <definedName name="SAP_PLM">'Katalog-Catalogue'!$M$17:$M$26</definedName>
    <definedName name="Sprache">'Katalog-Catalogue'!$G$9:$I$9</definedName>
    <definedName name="Sprachen">'Katalog-Catalogue'!$B$2:$D$73</definedName>
    <definedName name="Token">'Katalog-Catalogue'!$A$2:$A$73</definedName>
    <definedName name="translation">'Katalog-Catalogue'!$A$2:$D$73</definedName>
    <definedName name="X">'Katalog-Catalogue'!$M$3:$M$4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 i="6" l="1"/>
  <c r="G3" i="6"/>
  <c r="A2" i="4"/>
  <c r="A1" i="4"/>
  <c r="A40" i="10"/>
  <c r="T37" i="10"/>
  <c r="Q37" i="10"/>
  <c r="O37" i="10"/>
  <c r="B37" i="10"/>
  <c r="T36" i="10"/>
  <c r="Q36" i="10"/>
  <c r="O36" i="10"/>
  <c r="B36" i="10"/>
  <c r="T35" i="10"/>
  <c r="Q35" i="10"/>
  <c r="O35" i="10"/>
  <c r="B35" i="10"/>
  <c r="T34" i="10"/>
  <c r="Q34" i="10"/>
  <c r="O34" i="10"/>
  <c r="B34" i="10"/>
  <c r="T33" i="10"/>
  <c r="Q33" i="10"/>
  <c r="O33" i="10"/>
  <c r="B33" i="10"/>
  <c r="T32" i="10"/>
  <c r="Q32" i="10"/>
  <c r="O32" i="10"/>
  <c r="B32" i="10"/>
  <c r="T31" i="10"/>
  <c r="Q31" i="10"/>
  <c r="O31" i="10"/>
  <c r="B31" i="10"/>
  <c r="T30" i="10"/>
  <c r="Q30" i="10"/>
  <c r="O30" i="10"/>
  <c r="B30" i="10"/>
  <c r="T29" i="10"/>
  <c r="Q29" i="10"/>
  <c r="O29" i="10"/>
  <c r="B29" i="10"/>
  <c r="T28" i="10"/>
  <c r="Q28" i="10"/>
  <c r="O28" i="10"/>
  <c r="B28" i="10"/>
  <c r="T27" i="10"/>
  <c r="Q27" i="10"/>
  <c r="O27" i="10"/>
  <c r="B27" i="10"/>
  <c r="T26" i="10"/>
  <c r="Q26" i="10"/>
  <c r="O26" i="10"/>
  <c r="B26" i="10"/>
  <c r="T25" i="10"/>
  <c r="Q25" i="10"/>
  <c r="O25" i="10"/>
  <c r="B25" i="10"/>
  <c r="T24" i="10"/>
  <c r="Q24" i="10"/>
  <c r="O24" i="10"/>
  <c r="B24" i="10"/>
  <c r="T23" i="10"/>
  <c r="Q23" i="10"/>
  <c r="O23" i="10"/>
  <c r="B23" i="10"/>
  <c r="T22" i="10"/>
  <c r="Q22" i="10"/>
  <c r="O22" i="10"/>
  <c r="B22" i="10"/>
  <c r="T21" i="10"/>
  <c r="Q21" i="10"/>
  <c r="O21" i="10"/>
  <c r="B21" i="10"/>
  <c r="T20" i="10"/>
  <c r="Q20" i="10"/>
  <c r="O20" i="10"/>
  <c r="B20" i="10"/>
  <c r="T19" i="10"/>
  <c r="Q19" i="10"/>
  <c r="O19" i="10"/>
  <c r="B19" i="10"/>
  <c r="T18" i="10"/>
  <c r="Q18" i="10"/>
  <c r="O18" i="10"/>
  <c r="B18" i="10"/>
  <c r="T17" i="10"/>
  <c r="Q17" i="10"/>
  <c r="O17" i="10"/>
  <c r="B17" i="10"/>
  <c r="T16" i="10"/>
  <c r="Q16" i="10"/>
  <c r="O16" i="10"/>
  <c r="B16" i="10"/>
  <c r="T15" i="10"/>
  <c r="Q15" i="10"/>
  <c r="O15" i="10"/>
  <c r="B15" i="10"/>
  <c r="T14" i="10"/>
  <c r="Q14" i="10"/>
  <c r="O14" i="10"/>
  <c r="B14" i="10"/>
  <c r="T13" i="10"/>
  <c r="Q13" i="10"/>
  <c r="O13" i="10"/>
  <c r="B13" i="10"/>
  <c r="T12" i="10"/>
  <c r="Q12" i="10"/>
  <c r="O12" i="10"/>
  <c r="B12" i="10"/>
  <c r="T11" i="10"/>
  <c r="Q11" i="10"/>
  <c r="O11" i="10"/>
  <c r="B11" i="10"/>
  <c r="T10" i="10"/>
  <c r="Q10" i="10"/>
  <c r="O10" i="10"/>
  <c r="B10" i="10"/>
  <c r="T9" i="10"/>
  <c r="Q9" i="10"/>
  <c r="O9" i="10"/>
  <c r="B9" i="10"/>
  <c r="T8" i="10"/>
  <c r="Q8" i="10"/>
  <c r="O8" i="10"/>
  <c r="B8" i="10"/>
  <c r="T7" i="10"/>
  <c r="Q7" i="10"/>
  <c r="O7" i="10"/>
  <c r="N7" i="10"/>
  <c r="L7" i="10"/>
  <c r="G7" i="10"/>
  <c r="T6" i="10"/>
  <c r="R6" i="10"/>
  <c r="P6" i="10"/>
  <c r="U6" i="10" s="1"/>
  <c r="L6" i="10"/>
  <c r="G6" i="10"/>
  <c r="F6" i="10"/>
  <c r="B6" i="10"/>
  <c r="A6" i="10"/>
  <c r="O5" i="10"/>
  <c r="J5" i="10"/>
  <c r="F5" i="10"/>
  <c r="A5" i="10"/>
  <c r="R4" i="10"/>
  <c r="L4" i="10"/>
  <c r="H4" i="10"/>
  <c r="C4" i="10"/>
  <c r="P3" i="10"/>
  <c r="G3" i="10"/>
  <c r="Q37" i="6" l="1"/>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Q8" i="6"/>
  <c r="O8" i="6"/>
  <c r="O5" i="6" l="1"/>
  <c r="F5" i="6"/>
  <c r="T11" i="6"/>
  <c r="T12" i="6"/>
  <c r="T13" i="6"/>
  <c r="T14" i="6"/>
  <c r="T15" i="6"/>
  <c r="T16" i="6"/>
  <c r="T17" i="6"/>
  <c r="T18" i="6"/>
  <c r="T19" i="6"/>
  <c r="T20" i="6"/>
  <c r="T21" i="6"/>
  <c r="T22" i="6"/>
  <c r="T23" i="6"/>
  <c r="T24" i="6"/>
  <c r="T25" i="6"/>
  <c r="T26" i="6"/>
  <c r="T27" i="6"/>
  <c r="T28" i="6"/>
  <c r="T29" i="6"/>
  <c r="T30" i="6"/>
  <c r="T31" i="6"/>
  <c r="T32" i="6"/>
  <c r="T33" i="6"/>
  <c r="T34" i="6"/>
  <c r="T35" i="6"/>
  <c r="T36" i="6"/>
  <c r="T37" i="6"/>
  <c r="T8" i="6"/>
  <c r="T9" i="6"/>
  <c r="T10" i="6"/>
  <c r="J78" i="2"/>
  <c r="K78" i="2"/>
  <c r="J79" i="2"/>
  <c r="K79" i="2"/>
  <c r="J80" i="2"/>
  <c r="K80" i="2"/>
  <c r="J81" i="2"/>
  <c r="K81" i="2"/>
  <c r="J82" i="2"/>
  <c r="K82" i="2"/>
  <c r="J83" i="2"/>
  <c r="K83" i="2"/>
  <c r="J84" i="2"/>
  <c r="K84" i="2"/>
  <c r="J85" i="2"/>
  <c r="K85" i="2"/>
  <c r="J86" i="2"/>
  <c r="K86" i="2"/>
  <c r="J87" i="2"/>
  <c r="K87" i="2"/>
  <c r="J88" i="2"/>
  <c r="K88" i="2"/>
  <c r="J89" i="2"/>
  <c r="K89" i="2"/>
  <c r="J90" i="2"/>
  <c r="K90" i="2"/>
  <c r="J91" i="2"/>
  <c r="K91" i="2"/>
  <c r="J92" i="2"/>
  <c r="K92" i="2"/>
  <c r="J93" i="2"/>
  <c r="K93" i="2"/>
  <c r="J94" i="2"/>
  <c r="K94" i="2"/>
  <c r="J95" i="2"/>
  <c r="K95" i="2"/>
  <c r="J96" i="2"/>
  <c r="K96" i="2"/>
  <c r="J97" i="2"/>
  <c r="K97" i="2"/>
  <c r="J98" i="2"/>
  <c r="K98" i="2"/>
  <c r="J99" i="2"/>
  <c r="K99" i="2"/>
  <c r="J100" i="2"/>
  <c r="K100" i="2"/>
  <c r="J101" i="2"/>
  <c r="K101" i="2"/>
  <c r="J102" i="2"/>
  <c r="K102" i="2"/>
  <c r="J103" i="2"/>
  <c r="K103" i="2"/>
  <c r="J104" i="2"/>
  <c r="K104" i="2"/>
  <c r="J105" i="2"/>
  <c r="K105" i="2"/>
  <c r="J106" i="2"/>
  <c r="K106" i="2"/>
  <c r="J107" i="2"/>
  <c r="K107" i="2"/>
  <c r="J108" i="2"/>
  <c r="K108" i="2"/>
  <c r="J109" i="2"/>
  <c r="K109" i="2"/>
  <c r="J110" i="2"/>
  <c r="K110" i="2"/>
  <c r="J111" i="2"/>
  <c r="K111" i="2"/>
  <c r="J112" i="2"/>
  <c r="K112" i="2"/>
  <c r="J113" i="2"/>
  <c r="K113" i="2"/>
  <c r="J114" i="2"/>
  <c r="K114" i="2"/>
  <c r="J115" i="2"/>
  <c r="K115" i="2"/>
  <c r="J116" i="2"/>
  <c r="K116" i="2"/>
  <c r="J117" i="2"/>
  <c r="K117" i="2"/>
  <c r="J118" i="2"/>
  <c r="K118" i="2"/>
  <c r="J119" i="2"/>
  <c r="K119" i="2"/>
  <c r="J120" i="2"/>
  <c r="K120" i="2"/>
  <c r="J121" i="2"/>
  <c r="K121" i="2"/>
  <c r="J122" i="2"/>
  <c r="K122" i="2"/>
  <c r="J123" i="2"/>
  <c r="K123" i="2"/>
  <c r="J124" i="2"/>
  <c r="K124" i="2"/>
  <c r="J125" i="2"/>
  <c r="K125" i="2"/>
  <c r="J126" i="2"/>
  <c r="K126" i="2"/>
  <c r="J127" i="2"/>
  <c r="K127" i="2"/>
  <c r="J128" i="2"/>
  <c r="K128" i="2"/>
  <c r="J129" i="2"/>
  <c r="K129" i="2"/>
  <c r="J130" i="2"/>
  <c r="K130" i="2"/>
  <c r="J131" i="2"/>
  <c r="K131" i="2"/>
  <c r="J132" i="2"/>
  <c r="K132" i="2"/>
  <c r="J133" i="2"/>
  <c r="K133" i="2"/>
  <c r="J134" i="2"/>
  <c r="K134" i="2"/>
  <c r="J135" i="2"/>
  <c r="K135" i="2"/>
  <c r="J136" i="2"/>
  <c r="K136" i="2"/>
  <c r="J137" i="2"/>
  <c r="K137" i="2"/>
  <c r="J138" i="2"/>
  <c r="K138" i="2"/>
  <c r="J139" i="2"/>
  <c r="K139" i="2"/>
  <c r="J140" i="2"/>
  <c r="K140" i="2"/>
  <c r="J141" i="2"/>
  <c r="K141" i="2"/>
  <c r="J142" i="2"/>
  <c r="K142" i="2"/>
  <c r="J143" i="2"/>
  <c r="K143" i="2"/>
  <c r="J144" i="2"/>
  <c r="K144" i="2"/>
  <c r="J145" i="2"/>
  <c r="K145" i="2"/>
  <c r="J146" i="2"/>
  <c r="K146" i="2"/>
  <c r="J147" i="2"/>
  <c r="K147" i="2"/>
  <c r="J148" i="2"/>
  <c r="K148" i="2"/>
  <c r="J149" i="2"/>
  <c r="K149" i="2"/>
  <c r="J150" i="2"/>
  <c r="K150" i="2"/>
  <c r="J151" i="2"/>
  <c r="K151" i="2"/>
  <c r="J152" i="2"/>
  <c r="K152" i="2"/>
  <c r="J153" i="2"/>
  <c r="K153" i="2"/>
  <c r="J154" i="2"/>
  <c r="K154" i="2"/>
  <c r="J155" i="2"/>
  <c r="K155" i="2"/>
  <c r="J156" i="2"/>
  <c r="K156" i="2"/>
  <c r="J157" i="2"/>
  <c r="K157" i="2"/>
  <c r="J158" i="2"/>
  <c r="K158" i="2"/>
  <c r="J159" i="2"/>
  <c r="K159" i="2"/>
  <c r="J160" i="2"/>
  <c r="K160" i="2"/>
  <c r="J161" i="2"/>
  <c r="K161" i="2"/>
  <c r="J162" i="2"/>
  <c r="K162" i="2"/>
  <c r="J163" i="2"/>
  <c r="K163" i="2"/>
  <c r="J164" i="2"/>
  <c r="K164" i="2"/>
  <c r="J165" i="2"/>
  <c r="K165" i="2"/>
  <c r="J166" i="2"/>
  <c r="K166" i="2"/>
  <c r="J167" i="2"/>
  <c r="K167" i="2"/>
  <c r="J168" i="2"/>
  <c r="K168" i="2"/>
  <c r="J169" i="2"/>
  <c r="K169" i="2"/>
  <c r="J170" i="2"/>
  <c r="K170" i="2"/>
  <c r="J171" i="2"/>
  <c r="K171" i="2"/>
  <c r="J172" i="2"/>
  <c r="K172" i="2"/>
  <c r="J173" i="2"/>
  <c r="K173" i="2"/>
  <c r="K77" i="2"/>
  <c r="J77" i="2"/>
  <c r="H78" i="2"/>
  <c r="I78" i="2"/>
  <c r="H79" i="2"/>
  <c r="I79" i="2"/>
  <c r="H80" i="2"/>
  <c r="I80" i="2"/>
  <c r="H81" i="2"/>
  <c r="I81" i="2"/>
  <c r="H82" i="2"/>
  <c r="I82" i="2"/>
  <c r="H83" i="2"/>
  <c r="I83" i="2"/>
  <c r="H84" i="2"/>
  <c r="I84" i="2"/>
  <c r="H85" i="2"/>
  <c r="I85" i="2"/>
  <c r="H86" i="2"/>
  <c r="I86" i="2"/>
  <c r="H87" i="2"/>
  <c r="I87" i="2"/>
  <c r="H88" i="2"/>
  <c r="I88" i="2"/>
  <c r="H89" i="2"/>
  <c r="I89" i="2"/>
  <c r="H90" i="2"/>
  <c r="I90" i="2"/>
  <c r="H91" i="2"/>
  <c r="I91" i="2"/>
  <c r="H92" i="2"/>
  <c r="I92" i="2"/>
  <c r="H93" i="2"/>
  <c r="I93" i="2"/>
  <c r="H94" i="2"/>
  <c r="I94" i="2"/>
  <c r="H95" i="2"/>
  <c r="I95" i="2"/>
  <c r="H96" i="2"/>
  <c r="I96" i="2"/>
  <c r="H97" i="2"/>
  <c r="I97" i="2"/>
  <c r="H98" i="2"/>
  <c r="I98" i="2"/>
  <c r="H99" i="2"/>
  <c r="I99" i="2"/>
  <c r="H100" i="2"/>
  <c r="I100" i="2"/>
  <c r="H101" i="2"/>
  <c r="I101" i="2"/>
  <c r="H102" i="2"/>
  <c r="I102" i="2"/>
  <c r="H103" i="2"/>
  <c r="I103" i="2"/>
  <c r="H104" i="2"/>
  <c r="I104" i="2"/>
  <c r="H105" i="2"/>
  <c r="I105" i="2"/>
  <c r="H106" i="2"/>
  <c r="I106" i="2"/>
  <c r="H107" i="2"/>
  <c r="I107" i="2"/>
  <c r="H108" i="2"/>
  <c r="I108" i="2"/>
  <c r="H109" i="2"/>
  <c r="I109" i="2"/>
  <c r="H110" i="2"/>
  <c r="I110" i="2"/>
  <c r="H111" i="2"/>
  <c r="I111" i="2"/>
  <c r="H112" i="2"/>
  <c r="I112" i="2"/>
  <c r="H113" i="2"/>
  <c r="I113" i="2"/>
  <c r="H114" i="2"/>
  <c r="I114" i="2"/>
  <c r="H115" i="2"/>
  <c r="I115" i="2"/>
  <c r="H116" i="2"/>
  <c r="I116" i="2"/>
  <c r="H117" i="2"/>
  <c r="I117" i="2"/>
  <c r="H118" i="2"/>
  <c r="I118" i="2"/>
  <c r="H119" i="2"/>
  <c r="I119" i="2"/>
  <c r="H120" i="2"/>
  <c r="I120" i="2"/>
  <c r="H121" i="2"/>
  <c r="I121" i="2"/>
  <c r="H122" i="2"/>
  <c r="I122" i="2"/>
  <c r="H123" i="2"/>
  <c r="I123" i="2"/>
  <c r="H124" i="2"/>
  <c r="I124" i="2"/>
  <c r="H125" i="2"/>
  <c r="I125" i="2"/>
  <c r="H126" i="2"/>
  <c r="I126" i="2"/>
  <c r="H127" i="2"/>
  <c r="I127" i="2"/>
  <c r="H128" i="2"/>
  <c r="I128" i="2"/>
  <c r="H129" i="2"/>
  <c r="I129" i="2"/>
  <c r="H130" i="2"/>
  <c r="I130" i="2"/>
  <c r="H131" i="2"/>
  <c r="I131" i="2"/>
  <c r="H132" i="2"/>
  <c r="I132" i="2"/>
  <c r="H133" i="2"/>
  <c r="I133" i="2"/>
  <c r="H134" i="2"/>
  <c r="I134" i="2"/>
  <c r="H135" i="2"/>
  <c r="I135" i="2"/>
  <c r="H136" i="2"/>
  <c r="I136" i="2"/>
  <c r="H137" i="2"/>
  <c r="I137" i="2"/>
  <c r="H138" i="2"/>
  <c r="I138" i="2"/>
  <c r="H139" i="2"/>
  <c r="I139" i="2"/>
  <c r="H140" i="2"/>
  <c r="I140" i="2"/>
  <c r="H141" i="2"/>
  <c r="I141" i="2"/>
  <c r="H142" i="2"/>
  <c r="I142" i="2"/>
  <c r="H143" i="2"/>
  <c r="I143" i="2"/>
  <c r="H144" i="2"/>
  <c r="I144" i="2"/>
  <c r="H145" i="2"/>
  <c r="I145" i="2"/>
  <c r="H146" i="2"/>
  <c r="I146" i="2"/>
  <c r="H147" i="2"/>
  <c r="I147" i="2"/>
  <c r="H148" i="2"/>
  <c r="I148" i="2"/>
  <c r="H149" i="2"/>
  <c r="I149" i="2"/>
  <c r="H150" i="2"/>
  <c r="I150" i="2"/>
  <c r="H151" i="2"/>
  <c r="I151" i="2"/>
  <c r="H152" i="2"/>
  <c r="I152" i="2"/>
  <c r="H153" i="2"/>
  <c r="I153" i="2"/>
  <c r="H154" i="2"/>
  <c r="I154" i="2"/>
  <c r="H155" i="2"/>
  <c r="I155" i="2"/>
  <c r="H156" i="2"/>
  <c r="I156" i="2"/>
  <c r="H157" i="2"/>
  <c r="I157" i="2"/>
  <c r="H158" i="2"/>
  <c r="I158" i="2"/>
  <c r="H159" i="2"/>
  <c r="I159" i="2"/>
  <c r="H160" i="2"/>
  <c r="I160" i="2"/>
  <c r="H161" i="2"/>
  <c r="I161" i="2"/>
  <c r="H162" i="2"/>
  <c r="I162" i="2"/>
  <c r="H163" i="2"/>
  <c r="I163" i="2"/>
  <c r="H164" i="2"/>
  <c r="I164" i="2"/>
  <c r="H165" i="2"/>
  <c r="I165" i="2"/>
  <c r="H166" i="2"/>
  <c r="I166" i="2"/>
  <c r="H167" i="2"/>
  <c r="I167" i="2"/>
  <c r="H168" i="2"/>
  <c r="I168" i="2"/>
  <c r="H169" i="2"/>
  <c r="I169" i="2"/>
  <c r="H170" i="2"/>
  <c r="I170" i="2"/>
  <c r="H171" i="2"/>
  <c r="I171" i="2"/>
  <c r="H172" i="2"/>
  <c r="I172" i="2"/>
  <c r="H173" i="2"/>
  <c r="I173" i="2"/>
  <c r="I77" i="2"/>
  <c r="H77"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78" i="2"/>
  <c r="G77" i="2"/>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8" i="6"/>
  <c r="B9" i="6"/>
  <c r="I3" i="1"/>
  <c r="L6" i="6" l="1"/>
  <c r="G7" i="6"/>
  <c r="G6" i="6"/>
  <c r="F6" i="6"/>
  <c r="B6" i="6"/>
  <c r="A6" i="6"/>
  <c r="A5" i="6"/>
  <c r="J5" i="6"/>
  <c r="A22" i="1"/>
  <c r="A21" i="1"/>
  <c r="A20" i="1"/>
  <c r="A19" i="1"/>
  <c r="A18" i="1"/>
  <c r="F4" i="10" s="1"/>
  <c r="A17" i="1"/>
  <c r="A16" i="1"/>
  <c r="A15" i="1"/>
  <c r="A14" i="1"/>
  <c r="A13" i="1"/>
  <c r="A12" i="1"/>
  <c r="O4" i="10" s="1"/>
  <c r="A5" i="1"/>
  <c r="A29" i="1"/>
  <c r="A28" i="1"/>
  <c r="A27" i="1"/>
  <c r="A26" i="1"/>
  <c r="A25" i="1"/>
  <c r="A24" i="1"/>
  <c r="A32" i="1"/>
  <c r="F32" i="1"/>
  <c r="F29" i="1"/>
  <c r="F28" i="1"/>
  <c r="F27" i="1"/>
  <c r="F26" i="1"/>
  <c r="F25" i="1"/>
  <c r="F24" i="1"/>
  <c r="G13" i="1"/>
  <c r="F13" i="1"/>
  <c r="F12" i="1"/>
  <c r="J30" i="1"/>
  <c r="L28" i="1"/>
  <c r="L27" i="1"/>
  <c r="L26" i="1"/>
  <c r="L25" i="1"/>
  <c r="L24" i="1"/>
  <c r="L23" i="1"/>
  <c r="L22" i="1"/>
  <c r="L21" i="1"/>
  <c r="J19" i="1"/>
  <c r="L17" i="1"/>
  <c r="L16" i="1"/>
  <c r="L15" i="1"/>
  <c r="L14" i="1"/>
  <c r="L13" i="1"/>
  <c r="L12" i="1"/>
  <c r="L11" i="1"/>
  <c r="L10" i="1"/>
  <c r="L9" i="1"/>
  <c r="J7" i="1"/>
  <c r="I5" i="1"/>
  <c r="L3" i="10" s="1"/>
  <c r="I1" i="1"/>
  <c r="F8" i="1"/>
  <c r="F7" i="1"/>
  <c r="A8" i="1"/>
  <c r="A7" i="1"/>
  <c r="J4" i="10" s="1"/>
  <c r="D5" i="1"/>
  <c r="A1" i="1"/>
  <c r="A1" i="10" s="1"/>
  <c r="A40" i="6"/>
  <c r="T7" i="6"/>
  <c r="T6" i="6"/>
  <c r="R6" i="6"/>
  <c r="P6" i="6"/>
  <c r="O7" i="6"/>
  <c r="Q7" i="6"/>
  <c r="N7" i="6"/>
  <c r="L7" i="6"/>
  <c r="A4" i="10" l="1"/>
  <c r="A4" i="6"/>
  <c r="A3" i="10"/>
  <c r="A1" i="6"/>
  <c r="L4" i="6" l="1"/>
  <c r="U6" i="6" l="1"/>
  <c r="H4" i="6"/>
  <c r="C4" i="6"/>
  <c r="P3" i="6"/>
  <c r="F4" i="6" l="1"/>
  <c r="O4" i="6"/>
  <c r="J4" i="6"/>
  <c r="L3" i="6"/>
  <c r="A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Häßler, Steffi</author>
  </authors>
  <commentList>
    <comment ref="A15" authorId="0" shapeId="0" xr:uid="{ECC055F6-C0CA-4E46-AEAF-0E4DA993BDEE}">
      <text>
        <r>
          <rPr>
            <sz val="8"/>
            <color indexed="81"/>
            <rFont val="Tahoma"/>
            <family val="2"/>
          </rPr>
          <t>Bitte immer Anzahl der Muster eintragen.
Please enter always number of samples.</t>
        </r>
      </text>
    </comment>
    <comment ref="A16" authorId="0" shapeId="0" xr:uid="{13EC6C53-9B88-4602-B4AF-9913E5D01B2B}">
      <text>
        <r>
          <rPr>
            <sz val="8"/>
            <color indexed="81"/>
            <rFont val="Tahoma"/>
            <family val="2"/>
          </rPr>
          <t>Bitte immer Anzahl der Prüfteile eintragen.
Please enter always the number of parts tested.</t>
        </r>
      </text>
    </comment>
    <comment ref="A19" authorId="0" shapeId="0" xr:uid="{7A724012-3573-4349-9ACD-BF8C0D41149B}">
      <text>
        <r>
          <rPr>
            <b/>
            <sz val="8"/>
            <color indexed="81"/>
            <rFont val="Tahoma"/>
            <family val="2"/>
          </rPr>
          <t>Aus Pull-Down-                 Choose from
Menü wählen:                   pull down menue:
FR Freigegeben                 Released
IA In Arbeit                       In work
IB In Bearbeitung            In progress
PF Pilotfreigabe                Pilot release 
VF Vorfreigabe                  Prerelease
IC In Änderung                 In change
SP Gesperrt                       Blocked
HI Historisch                     Historical
nicht in SAP-PLM              Not in SAP-PLM</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schlesiger-t</author>
    <author>Häßler, Steffi</author>
  </authors>
  <commentList>
    <comment ref="J5" authorId="0" shapeId="0" xr:uid="{60756AE1-66CE-4CC1-B8EF-217ED2B17466}">
      <text>
        <r>
          <rPr>
            <b/>
            <sz val="10"/>
            <color indexed="81"/>
            <rFont val="Tahoma"/>
            <family val="2"/>
          </rPr>
          <t>4-Augen-Prinzip ist einzuhalten!
4-eyes-principle is mandatory!</t>
        </r>
      </text>
    </comment>
    <comment ref="T6" authorId="1" shapeId="0" xr:uid="{5FB173DA-1D63-4C66-9CBE-07E5BC2A43A3}">
      <text>
        <r>
          <rPr>
            <b/>
            <sz val="9"/>
            <color indexed="81"/>
            <rFont val="Segoe UI"/>
            <family val="2"/>
          </rPr>
          <t xml:space="preserve">Abk.:                 Prüfmittel deutsch                            Abr.:   Test equipment english                                          Abr.:     测试设备                                                        
BMS                  Bügelmessschraube                          MG        Micrometer gauge                                               MG        千分尺
2DKG               2D-Koordinatenmessmaschine       2DCM   2D-Coordinate measuring machine                  2DCM    二维坐标测试仪
3MM                 3D-Messmakroskop                          3MMA  3D-Measuring macroscope                                 3MMA   3D 测量显微镜  
DMS                 Drehmomentschlüssel                      TW         Torque wrench                                                      TW         扭力扳手      
FP                      Funktionsprüfung                              FC           Function check                                                      FC            功能确认       
GL                     Gewindelehre                                     TG          Thread gauge                                                         TG          螺纹规
GSL                   Gut-/Schlecht-Lehre                        GNG      Go-/No-Go gauge                                                  GNG      通/止规    
HPG                  Härteprüfgerät                                  HT          Hardness tester                                                     HT           硬度测试仪         
KF                     Kordt Flankenmeßgerät                   FI            Flank measuring instrument                               FI            法兰测量仪
LL                      Lochlehre                                             HG          Hole gauge                                                             HG         孔规      
MM                   Messmaschine                                    MM         Measuring machine                                              MM        测量仪器
MS                    Messschieber                                      CA           Caliper                                                                      CA          卡尺
MT                    Messstift                                              MP          Measuring pin                                                        MP          针规         
MU                   Messuhr                                               DG          Dial gauge                                                                DG         千分表
OWM               optisches Wellenmesssystem         OWS      Optical wave me system                                      OWS       光波测量系统
PG                    Profilmessgerät                                  PRM       Profile meter                                                          PRM       表面轮廓测量仪                                     
PK                     Prüfkraftmaschine                            TM          Test load machine                                                 TM          载荷测试机 
PP                     Profilprojektor                                    PP           Profil projector                                                      PP           投影仪
PS                     Prüfstift                                                TP           Test pin                                                                    TP           测试针
RD                     Rohrschellendummy                        PD           Pipe clamp dummy                                                PD          管卡检具
RF                     Röntgenfluoreszenzgerät                XF           X-ray fluorescence                                                XF          x射线测量仪
RL                     Radiuslehre                                          RG          Radius gauge                                                          RG         半径规
RM                    Rauheitsmessgerät                           RM          Roughness measuring device                             RM         粗糙度仪
SP                    Sichtprüfung                                        VC          Visual check                                                             VC          目视
VMM                Video-Messmikroskop                      VIM       Video-measuring microscope                              VIM       金相显微镜
WM                   Winkelmesser                                     AG         Angle gauge                                                             AG         角度规
ZM                    Zugmaschine                                       PM          Pulling machine                                                      PM        拉拔仪 
ZSD                  Zinkschichtdickenmessgerät           ZCT         Zinc coating thickness measuring device         ZCT       锌厚仪
Falls ihr Prüfmittel in der Liste nicht                        If their test equipment not in the list, please follow this step:
vorhanden ist, befolgen sie bitte diesen                 
Schritt:                                               
 - Definieren sie eine 3-stellige                                  - Define a 3-digit abbreviation for your test equipment
   Abkürzung für ihr Prüfmittel  und tragen               and enter it in column T
   sie diese ein                                                                 - Enter this abbreviation annd the exact in the tab                                          
 - tragen sie diese Abkürzung und die genaue         "Katalog-Catalogue" from column I62 (english) / K62 (chinese) onwards
   Bezeichnung im Reiter "Katalog-Catalogue"             
   ab Spalte G62 ein. </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schlesiger-t</author>
    <author>Häßler, Steffi</author>
  </authors>
  <commentList>
    <comment ref="J5" authorId="0" shapeId="0" xr:uid="{88390885-F486-40F1-A972-43D26FBF172D}">
      <text>
        <r>
          <rPr>
            <b/>
            <sz val="10"/>
            <color indexed="81"/>
            <rFont val="Tahoma"/>
            <family val="2"/>
          </rPr>
          <t>4-Augen-Prinzip ist einzuhalten!
4-eyes-principle is mandatory!</t>
        </r>
      </text>
    </comment>
    <comment ref="T6" authorId="1" shapeId="0" xr:uid="{D72A2F76-F2AE-4B03-9720-51EBBA711E96}">
      <text>
        <r>
          <rPr>
            <b/>
            <sz val="9"/>
            <color indexed="81"/>
            <rFont val="Segoe UI"/>
            <family val="2"/>
          </rPr>
          <t xml:space="preserve">Abk.:                 Prüfmittel deutsch                            Abr.:   Test equipment english                                          Abr.:     测试设备                                                        
BMS                  Bügelmessschraube                          MG        Micrometer gauge                                               MG        千分尺
2DKG               2D-Koordinatenmessmaschine       2DCM   2D-Coordinate measuring machine                  2DCM    二维坐标测试仪
3MM                 3D-Messmakroskop                          3MMA  3D-Measuring macroscope                                 3MMA   3D 测量显微镜  
DMS                 Drehmomentschlüssel                      TW         Torque wrench                                                      TW         扭力扳手      
FP                      Funktionsprüfung                              FC           Function check                                                      FC            功能确认       
GL                     Gewindelehre                                     TG          Thread gauge                                                         TG          螺纹规
GSL                   Gut-/Schlecht-Lehre                        GNG      Go-/No-Go gauge                                                  GNG      通/止规    
HPG                  Härteprüfgerät                                  HT          Hardness tester                                                     HT           硬度测试仪         
KF                     Kordt Flankenmeßgerät                   FI            Flank measuring instrument                               FI            法兰测量仪
LL                      Lochlehre                                             HG          Hole gauge                                                             HG         孔规      
MM                   Messmaschine                                    MM         Measuring machine                                              MM        测量仪器
MS                    Messschieber                                      CA           Caliper                                                                      CA          卡尺
MT                    Messstift                                              MP          Measuring pin                                                        MP          针规         
MU                   Messuhr                                               DG          Dial gauge                                                                DG         千分表
OWM               optisches Wellenmesssystem         OWS      Optical wave me system                                      OWS       光波测量系统
PG                    Profilmessgerät                                  PRM       Profile meter                                                          PRM       表面轮廓测量仪                                     
PK                     Prüfkraftmaschine                            TM          Test load machine                                                 TM          载荷测试机 
PP                     Profilprojektor                                    PP           Profil projector                                                      PP           投影仪
PS                     Prüfstift                                                TP           Test pin                                                                    TP           测试针
RD                     Rohrschellendummy                        PD           Pipe clamp dummy                                                PD          管卡检具
RF                     Röntgenfluoreszenzgerät                XF           X-ray fluorescence                                                XF          x射线测量仪
RL                     Radiuslehre                                          RG          Radius gauge                                                          RG         半径规
RM                    Rauheitsmessgerät                           RM          Roughness measuring device                             RM         粗糙度仪
SP                    Sichtprüfung                                        VC          Visual check                                                             VC          目视
VMM                Video-Messmikroskop                      VIM       Video-measuring microscope                              VIM       金相显微镜
WM                   Winkelmesser                                     AG         Angle gauge                                                             AG         角度规
ZM                    Zugmaschine                                       PM          Pulling machine                                                      PM        拉拔仪 
ZSD                  Zinkschichtdickenmessgerät           ZCT         Zinc coating thickness measuring device         ZCT       锌厚仪
Falls ihr Prüfmittel in der Liste nicht                        If their test equipment not in the list, please follow this step:
vorhanden ist, befolgen sie bitte diesen                 
Schritt:                                               
 - Definieren sie eine 3-stellige                                  - Define a 3-digit abbreviation for your test equipment
   Abkürzung für ihr Prüfmittel  und tragen               and enter it in column T
   sie diese ein                                                                 - Enter this abbreviation annd the exact in the tab                                          
 - tragen sie diese Abkürzung und die genaue         "Katalog-Catalogue" from column I62 (english) / K62 (chinese) onwards
   Bezeichnung im Reiter "Katalog-Catalogue"             
   ab Spalte G62 ein. </t>
        </r>
        <r>
          <rPr>
            <sz val="9"/>
            <color indexed="81"/>
            <rFont val="Segoe UI"/>
            <family val="2"/>
          </rPr>
          <t xml:space="preserve">
 </t>
        </r>
      </text>
    </comment>
  </commentList>
</comments>
</file>

<file path=xl/sharedStrings.xml><?xml version="1.0" encoding="utf-8"?>
<sst xmlns="http://schemas.openxmlformats.org/spreadsheetml/2006/main" count="1249" uniqueCount="725">
  <si>
    <t>German</t>
  </si>
  <si>
    <t>fischerwerke GmbH &amp; Co. KG</t>
  </si>
  <si>
    <t>Klaus–Fischer–Straße 1</t>
  </si>
  <si>
    <t>72178 Waldachtal–Tumlingen</t>
  </si>
  <si>
    <t xml:space="preserve"> </t>
  </si>
  <si>
    <t>-</t>
  </si>
  <si>
    <t>I</t>
  </si>
  <si>
    <t xml:space="preserve">Feldbezeichnung </t>
  </si>
  <si>
    <t>English</t>
  </si>
  <si>
    <t>Chinese</t>
  </si>
  <si>
    <t>GR</t>
  </si>
  <si>
    <t>Gesamt-Resultat:</t>
  </si>
  <si>
    <t>Final result:</t>
  </si>
  <si>
    <t>总结果</t>
  </si>
  <si>
    <t>Lieferant:</t>
  </si>
  <si>
    <t>Supplier:</t>
  </si>
  <si>
    <t>供应商</t>
    <phoneticPr fontId="0" type="noConversion"/>
  </si>
  <si>
    <t>P</t>
  </si>
  <si>
    <t>Teile entsprechen den Vorgaben</t>
  </si>
  <si>
    <t>Parts comply with the specification</t>
  </si>
  <si>
    <t>产品符合要求</t>
    <phoneticPr fontId="20" type="noConversion"/>
  </si>
  <si>
    <t>Befestigungssysteme</t>
  </si>
  <si>
    <t>Fixing systems</t>
  </si>
  <si>
    <t>锚固系统</t>
    <phoneticPr fontId="0" type="noConversion"/>
  </si>
  <si>
    <t>O</t>
  </si>
  <si>
    <t>Teile entsprechen nicht den Vorgaben</t>
  </si>
  <si>
    <t>Parts do not comply with the specification</t>
  </si>
  <si>
    <t>产品不符合要求</t>
    <phoneticPr fontId="20" type="noConversion"/>
  </si>
  <si>
    <t>Kunde:</t>
  </si>
  <si>
    <t>Customer:</t>
  </si>
  <si>
    <t>客户</t>
    <phoneticPr fontId="0" type="noConversion"/>
  </si>
  <si>
    <t xml:space="preserve">EMPB v. Lieferant </t>
  </si>
  <si>
    <t>Prüfbericht</t>
  </si>
  <si>
    <t>Test report</t>
  </si>
  <si>
    <t>检验报告</t>
    <phoneticPr fontId="0" type="noConversion"/>
  </si>
  <si>
    <t>Auswahl X</t>
  </si>
  <si>
    <t>vorhanden</t>
  </si>
  <si>
    <t>Name:</t>
  </si>
  <si>
    <t>名字</t>
  </si>
  <si>
    <t>X</t>
  </si>
  <si>
    <t>nicht vorhanden</t>
  </si>
  <si>
    <t>Abteilung:</t>
  </si>
  <si>
    <t>Dept.:</t>
  </si>
  <si>
    <t>部门</t>
    <phoneticPr fontId="0" type="noConversion"/>
  </si>
  <si>
    <t>nicht notwendig</t>
  </si>
  <si>
    <t>;,; ;</t>
  </si>
  <si>
    <t>für</t>
  </si>
  <si>
    <t>for</t>
  </si>
  <si>
    <t>对于</t>
    <phoneticPr fontId="0" type="noConversion"/>
  </si>
  <si>
    <t>available</t>
  </si>
  <si>
    <t>fischer Artikel-Nr.</t>
  </si>
  <si>
    <t>fischer article no.</t>
  </si>
  <si>
    <t>货号</t>
    <phoneticPr fontId="0" type="noConversion"/>
  </si>
  <si>
    <t>not available</t>
  </si>
  <si>
    <t>Auftraggeber</t>
  </si>
  <si>
    <t>Ordering body</t>
  </si>
  <si>
    <t>下单单位</t>
    <phoneticPr fontId="0" type="noConversion"/>
  </si>
  <si>
    <t>unnecessary</t>
  </si>
  <si>
    <t>Auftrags-/Projekt-Nr.</t>
  </si>
  <si>
    <t>Order-/project no.</t>
  </si>
  <si>
    <t>订单/项目号</t>
    <phoneticPr fontId="0" type="noConversion"/>
  </si>
  <si>
    <r>
      <t>available</t>
    </r>
    <r>
      <rPr>
        <sz val="10"/>
        <rFont val="宋体"/>
        <family val="2"/>
        <charset val="134"/>
      </rPr>
      <t>可用的</t>
    </r>
    <phoneticPr fontId="20" type="noConversion"/>
  </si>
  <si>
    <t>Index/-Datum</t>
  </si>
  <si>
    <t>Drawing index/date</t>
  </si>
  <si>
    <t>图纸日期</t>
    <phoneticPr fontId="0" type="noConversion"/>
  </si>
  <si>
    <r>
      <t>not available</t>
    </r>
    <r>
      <rPr>
        <sz val="10"/>
        <rFont val="宋体"/>
        <family val="2"/>
        <charset val="134"/>
      </rPr>
      <t>不可用的</t>
    </r>
    <phoneticPr fontId="20" type="noConversion"/>
  </si>
  <si>
    <t>Lieferant</t>
  </si>
  <si>
    <t>Supplier</t>
  </si>
  <si>
    <r>
      <t>unnecessary</t>
    </r>
    <r>
      <rPr>
        <sz val="10"/>
        <rFont val="宋体"/>
        <family val="2"/>
        <charset val="134"/>
      </rPr>
      <t>不需要</t>
    </r>
    <phoneticPr fontId="20" type="noConversion"/>
  </si>
  <si>
    <t>Prüfung durch:</t>
  </si>
  <si>
    <t>Test by:</t>
  </si>
  <si>
    <t>测试人员</t>
    <phoneticPr fontId="0" type="noConversion"/>
  </si>
  <si>
    <t>Adresse:</t>
  </si>
  <si>
    <t>Address:</t>
  </si>
  <si>
    <t>地址</t>
    <phoneticPr fontId="0" type="noConversion"/>
  </si>
  <si>
    <t xml:space="preserve">Ergebnis </t>
  </si>
  <si>
    <t>SAP-PLM</t>
  </si>
  <si>
    <t>EMPB vom Lieferant</t>
  </si>
  <si>
    <t>Sampletest supplier</t>
  </si>
  <si>
    <t>供应商样品测试</t>
    <phoneticPr fontId="0" type="noConversion"/>
  </si>
  <si>
    <t>i.O.</t>
  </si>
  <si>
    <t>FR Freigegeben</t>
  </si>
  <si>
    <t>Zeichnungs-Nr.</t>
  </si>
  <si>
    <t>Drawing no.</t>
  </si>
  <si>
    <t>图纸号</t>
    <phoneticPr fontId="0" type="noConversion"/>
  </si>
  <si>
    <t>n.i.O.</t>
  </si>
  <si>
    <t>IA In Arbeit</t>
  </si>
  <si>
    <t>Verteilerliste</t>
  </si>
  <si>
    <t>Distribution list</t>
  </si>
  <si>
    <t>分配表</t>
    <phoneticPr fontId="0" type="noConversion"/>
  </si>
  <si>
    <t>über</t>
  </si>
  <si>
    <t xml:space="preserve">IB In Bearbeitung  </t>
  </si>
  <si>
    <t>Prüfdatum:</t>
  </si>
  <si>
    <t>Test date:</t>
  </si>
  <si>
    <t>检验日期</t>
    <phoneticPr fontId="0" type="noConversion"/>
  </si>
  <si>
    <t>unter</t>
  </si>
  <si>
    <t>PF Pilotfreigabe</t>
  </si>
  <si>
    <t>Lieferdatum</t>
  </si>
  <si>
    <t>Date of delivery</t>
  </si>
  <si>
    <t>到货日期</t>
    <phoneticPr fontId="0" type="noConversion"/>
  </si>
  <si>
    <t>unter/über</t>
  </si>
  <si>
    <t>VF Vorfreigabe</t>
  </si>
  <si>
    <t>Anzahl Muster</t>
  </si>
  <si>
    <t>Number samples</t>
  </si>
  <si>
    <t>样品数量</t>
    <phoneticPr fontId="0" type="noConversion"/>
  </si>
  <si>
    <t>OK</t>
  </si>
  <si>
    <t>IC In Änderung</t>
  </si>
  <si>
    <t>Material/Werkstoff</t>
  </si>
  <si>
    <t>(Raw) Material</t>
  </si>
  <si>
    <t>原材料</t>
    <phoneticPr fontId="0" type="noConversion"/>
  </si>
  <si>
    <t>not OK</t>
  </si>
  <si>
    <t xml:space="preserve">SP Gesperrt </t>
  </si>
  <si>
    <t>Kontrolliert durch:</t>
  </si>
  <si>
    <t>Checked by:</t>
  </si>
  <si>
    <t>审核人员</t>
    <phoneticPr fontId="0" type="noConversion"/>
  </si>
  <si>
    <t>over</t>
  </si>
  <si>
    <t xml:space="preserve">HI Historisch </t>
  </si>
  <si>
    <t>Erstmuster</t>
  </si>
  <si>
    <t>First-Off</t>
  </si>
  <si>
    <t>第一次送样</t>
    <phoneticPr fontId="0" type="noConversion"/>
  </si>
  <si>
    <t>under</t>
  </si>
  <si>
    <t xml:space="preserve">nicht in SAP-PLM  </t>
  </si>
  <si>
    <t>Maßprotokoll</t>
  </si>
  <si>
    <t>Dimensional report</t>
  </si>
  <si>
    <t>尺寸报告</t>
    <phoneticPr fontId="0" type="noConversion"/>
  </si>
  <si>
    <t>under/over</t>
  </si>
  <si>
    <t xml:space="preserve">FR Released </t>
  </si>
  <si>
    <t>Status in SAP-PLM</t>
  </si>
  <si>
    <r>
      <t xml:space="preserve">SAP </t>
    </r>
    <r>
      <rPr>
        <sz val="10"/>
        <rFont val="宋体"/>
        <family val="2"/>
        <charset val="134"/>
      </rPr>
      <t>状态</t>
    </r>
  </si>
  <si>
    <t>合格</t>
  </si>
  <si>
    <t xml:space="preserve">IA In work </t>
  </si>
  <si>
    <t>Anzahl Prüfteile</t>
  </si>
  <si>
    <t>Number tested</t>
  </si>
  <si>
    <t>测试数量</t>
    <phoneticPr fontId="0" type="noConversion"/>
  </si>
  <si>
    <t>不合格</t>
  </si>
  <si>
    <t>IB In work</t>
  </si>
  <si>
    <t>Nachbemusterung</t>
  </si>
  <si>
    <t>Re-sampling</t>
  </si>
  <si>
    <t>再次送样</t>
    <phoneticPr fontId="0" type="noConversion"/>
  </si>
  <si>
    <t>高于</t>
  </si>
  <si>
    <t>PF pilot release</t>
  </si>
  <si>
    <t>Datum:</t>
  </si>
  <si>
    <t>Date:</t>
  </si>
  <si>
    <t>日期</t>
    <phoneticPr fontId="0" type="noConversion"/>
  </si>
  <si>
    <t>低于</t>
  </si>
  <si>
    <t>VF Pre-release</t>
  </si>
  <si>
    <t xml:space="preserve">Prüfmerkmal </t>
  </si>
  <si>
    <t>Test characteristic</t>
  </si>
  <si>
    <t>测试特性</t>
    <phoneticPr fontId="0" type="noConversion"/>
  </si>
  <si>
    <t>高于/低于</t>
  </si>
  <si>
    <t>IC In change</t>
  </si>
  <si>
    <t>Kat.Nr.</t>
  </si>
  <si>
    <t>Cat no.</t>
  </si>
  <si>
    <t>目录编号</t>
    <phoneticPr fontId="0" type="noConversion"/>
  </si>
  <si>
    <t>SP Locked</t>
  </si>
  <si>
    <t>Prüf-</t>
  </si>
  <si>
    <t>Test</t>
  </si>
  <si>
    <t>测试</t>
    <phoneticPr fontId="0" type="noConversion"/>
  </si>
  <si>
    <t>Abk.</t>
  </si>
  <si>
    <t>Prüfmittel</t>
  </si>
  <si>
    <t>Abr.</t>
  </si>
  <si>
    <t>Test equipment</t>
  </si>
  <si>
    <t>测试设备</t>
  </si>
  <si>
    <t>HI Historical</t>
  </si>
  <si>
    <t>mittel</t>
  </si>
  <si>
    <t>equip.</t>
  </si>
  <si>
    <t>仪器</t>
    <phoneticPr fontId="0" type="noConversion"/>
  </si>
  <si>
    <t>BMS</t>
  </si>
  <si>
    <t>Bügelmessschraube</t>
  </si>
  <si>
    <t>MG</t>
  </si>
  <si>
    <t>Micrometer gauge</t>
  </si>
  <si>
    <t>千分尺</t>
    <phoneticPr fontId="20" type="noConversion"/>
  </si>
  <si>
    <t>not in SAP-PLM</t>
  </si>
  <si>
    <t>Nr.</t>
  </si>
  <si>
    <t>No.</t>
  </si>
  <si>
    <t>序号</t>
    <phoneticPr fontId="0" type="noConversion"/>
  </si>
  <si>
    <t>2DKG</t>
  </si>
  <si>
    <t>2D-Koordinatenmessmaschine</t>
  </si>
  <si>
    <t>2DCM</t>
  </si>
  <si>
    <t>2D-Coordinate measuring machine</t>
    <phoneticPr fontId="20" type="noConversion"/>
  </si>
  <si>
    <t>二维坐标测试仪</t>
    <phoneticPr fontId="20" type="noConversion"/>
  </si>
  <si>
    <r>
      <t xml:space="preserve">FR Released </t>
    </r>
    <r>
      <rPr>
        <sz val="11"/>
        <rFont val="宋体"/>
        <family val="2"/>
        <charset val="134"/>
      </rPr>
      <t>得到正式认可的</t>
    </r>
  </si>
  <si>
    <t>最终结果</t>
    <phoneticPr fontId="20" type="noConversion"/>
  </si>
  <si>
    <t>3MM</t>
  </si>
  <si>
    <t>3D-Messmakroskop</t>
  </si>
  <si>
    <t>3MMA</t>
  </si>
  <si>
    <t>3D-Measuring macroscope</t>
    <phoneticPr fontId="20" type="noConversion"/>
  </si>
  <si>
    <r>
      <t xml:space="preserve">3D </t>
    </r>
    <r>
      <rPr>
        <sz val="11"/>
        <rFont val="宋体"/>
        <family val="2"/>
        <charset val="134"/>
      </rPr>
      <t>测量显微镜</t>
    </r>
    <phoneticPr fontId="20" type="noConversion"/>
  </si>
  <si>
    <r>
      <t xml:space="preserve">IA In work </t>
    </r>
    <r>
      <rPr>
        <sz val="11"/>
        <rFont val="宋体"/>
        <family val="2"/>
        <charset val="134"/>
      </rPr>
      <t>进行中</t>
    </r>
  </si>
  <si>
    <t>Zeichnungshinweise</t>
  </si>
  <si>
    <t>drawing notes</t>
  </si>
  <si>
    <t>图纸注解</t>
    <phoneticPr fontId="0" type="noConversion"/>
  </si>
  <si>
    <t>DMS</t>
  </si>
  <si>
    <t>Drehmomentschlüssel</t>
  </si>
  <si>
    <t>TW</t>
  </si>
  <si>
    <t>Torque wrench</t>
  </si>
  <si>
    <t>扭力扳手</t>
    <phoneticPr fontId="20" type="noConversion"/>
  </si>
  <si>
    <r>
      <t xml:space="preserve">IB In work  </t>
    </r>
    <r>
      <rPr>
        <sz val="11"/>
        <rFont val="宋体"/>
        <family val="2"/>
        <charset val="134"/>
      </rPr>
      <t>进行中</t>
    </r>
  </si>
  <si>
    <t xml:space="preserve">Soll-Vorgabe </t>
  </si>
  <si>
    <t xml:space="preserve">Specified value </t>
  </si>
  <si>
    <t>规定值</t>
    <phoneticPr fontId="0" type="noConversion"/>
  </si>
  <si>
    <t>FP</t>
  </si>
  <si>
    <t>Funktionsprüfung</t>
  </si>
  <si>
    <t>FC</t>
  </si>
  <si>
    <t>Function check</t>
  </si>
  <si>
    <t>功能确认</t>
    <phoneticPr fontId="20" type="noConversion"/>
  </si>
  <si>
    <r>
      <t xml:space="preserve">PF pilot release </t>
    </r>
    <r>
      <rPr>
        <sz val="11"/>
        <rFont val="宋体"/>
        <family val="2"/>
        <charset val="134"/>
      </rPr>
      <t>试点发布</t>
    </r>
  </si>
  <si>
    <t xml:space="preserve">Ist-Werte </t>
  </si>
  <si>
    <t xml:space="preserve">Actual values </t>
  </si>
  <si>
    <t>实际值</t>
    <phoneticPr fontId="0" type="noConversion"/>
  </si>
  <si>
    <t>GL</t>
  </si>
  <si>
    <t>Gewindelehre</t>
  </si>
  <si>
    <t>TG</t>
  </si>
  <si>
    <t>Thread gauge</t>
  </si>
  <si>
    <t>螺纹规</t>
    <phoneticPr fontId="20" type="noConversion"/>
  </si>
  <si>
    <r>
      <t xml:space="preserve">VF Pre-release </t>
    </r>
    <r>
      <rPr>
        <sz val="11"/>
        <rFont val="宋体"/>
        <family val="2"/>
        <charset val="134"/>
      </rPr>
      <t>预先批准</t>
    </r>
  </si>
  <si>
    <t>Ergebnis</t>
  </si>
  <si>
    <t>Result</t>
  </si>
  <si>
    <t>结果</t>
    <phoneticPr fontId="0" type="noConversion"/>
  </si>
  <si>
    <t>GSL</t>
  </si>
  <si>
    <t>Gut-/Schlecht-Lehre</t>
  </si>
  <si>
    <t>GNG</t>
  </si>
  <si>
    <t>Go-/No-Go gauge</t>
  </si>
  <si>
    <t>通/止规</t>
    <phoneticPr fontId="20" type="noConversion"/>
  </si>
  <si>
    <r>
      <t xml:space="preserve">IC In change </t>
    </r>
    <r>
      <rPr>
        <sz val="11"/>
        <rFont val="宋体"/>
        <family val="2"/>
        <charset val="134"/>
      </rPr>
      <t>在变更</t>
    </r>
  </si>
  <si>
    <t>Produktänderung</t>
  </si>
  <si>
    <t>Product modification</t>
  </si>
  <si>
    <t>产品改良</t>
    <phoneticPr fontId="0" type="noConversion"/>
  </si>
  <si>
    <t>HPG</t>
  </si>
  <si>
    <t>Härteprüfgerät</t>
  </si>
  <si>
    <t>HT</t>
  </si>
  <si>
    <t>Hardness tester</t>
  </si>
  <si>
    <t>硬度测试仪</t>
    <phoneticPr fontId="20" type="noConversion"/>
  </si>
  <si>
    <r>
      <t xml:space="preserve">SP Locked </t>
    </r>
    <r>
      <rPr>
        <sz val="11"/>
        <rFont val="宋体"/>
        <family val="2"/>
        <charset val="134"/>
      </rPr>
      <t>锁定</t>
    </r>
  </si>
  <si>
    <t>Produktionsverlagerung</t>
  </si>
  <si>
    <t>Production relocation</t>
  </si>
  <si>
    <t>生产地点转移</t>
    <phoneticPr fontId="0" type="noConversion"/>
  </si>
  <si>
    <t>KF</t>
  </si>
  <si>
    <t>Kordt Flankenmeßgerät</t>
    <phoneticPr fontId="20" type="noConversion"/>
  </si>
  <si>
    <t>FI</t>
  </si>
  <si>
    <t>Flank measuring instrument</t>
  </si>
  <si>
    <t>法兰测量仪</t>
  </si>
  <si>
    <r>
      <t xml:space="preserve">HI Historical </t>
    </r>
    <r>
      <rPr>
        <sz val="11"/>
        <rFont val="宋体"/>
        <family val="2"/>
        <charset val="134"/>
      </rPr>
      <t>历史的</t>
    </r>
  </si>
  <si>
    <t>Maßbericht-Dimension report</t>
  </si>
  <si>
    <t>供应商测试报告</t>
    <phoneticPr fontId="0" type="noConversion"/>
  </si>
  <si>
    <t>LL</t>
  </si>
  <si>
    <t>Lochlehre</t>
  </si>
  <si>
    <t>HG</t>
  </si>
  <si>
    <t>Hole gauge</t>
  </si>
  <si>
    <t>孔规</t>
    <phoneticPr fontId="20" type="noConversion"/>
  </si>
  <si>
    <r>
      <t>not in SAP-PLM</t>
    </r>
    <r>
      <rPr>
        <sz val="11"/>
        <rFont val="宋体"/>
        <family val="2"/>
        <charset val="134"/>
      </rPr>
      <t>不在</t>
    </r>
    <r>
      <rPr>
        <sz val="11"/>
        <rFont val="Arial"/>
        <family val="2"/>
      </rPr>
      <t>SAP-PLM</t>
    </r>
    <phoneticPr fontId="20" type="noConversion"/>
  </si>
  <si>
    <t xml:space="preserve">Prüfmittel </t>
  </si>
  <si>
    <t>测试设备</t>
    <phoneticPr fontId="0" type="noConversion"/>
  </si>
  <si>
    <t>MM</t>
  </si>
  <si>
    <t>Messmaschine</t>
  </si>
  <si>
    <t>Measuring machine</t>
  </si>
  <si>
    <t>测量仪器</t>
    <phoneticPr fontId="20" type="noConversion"/>
  </si>
  <si>
    <t xml:space="preserve">Bemusterungsgrund </t>
  </si>
  <si>
    <t>Sampling reason</t>
  </si>
  <si>
    <t>送样原因</t>
    <phoneticPr fontId="0" type="noConversion"/>
  </si>
  <si>
    <t>MS</t>
  </si>
  <si>
    <t>Messschieber</t>
  </si>
  <si>
    <t>CA</t>
  </si>
  <si>
    <t>Caliper</t>
  </si>
  <si>
    <t>卡尺</t>
    <phoneticPr fontId="20" type="noConversion"/>
  </si>
  <si>
    <t>Änderung des Produktionsverfahren</t>
  </si>
  <si>
    <t>Modification of the production process</t>
  </si>
  <si>
    <t>生产工艺修改</t>
    <phoneticPr fontId="0" type="noConversion"/>
  </si>
  <si>
    <t>MT</t>
  </si>
  <si>
    <t>Messstift</t>
  </si>
  <si>
    <t>MP</t>
  </si>
  <si>
    <t>Measuring pin</t>
  </si>
  <si>
    <t>针规</t>
    <phoneticPr fontId="20" type="noConversion"/>
  </si>
  <si>
    <t>Ist</t>
  </si>
  <si>
    <t>Actual</t>
  </si>
  <si>
    <t>实际的</t>
    <phoneticPr fontId="0" type="noConversion"/>
  </si>
  <si>
    <t>MU</t>
  </si>
  <si>
    <t>Messuhr</t>
  </si>
  <si>
    <t>DG</t>
  </si>
  <si>
    <t>Dial gauge</t>
  </si>
  <si>
    <t>千分表</t>
    <phoneticPr fontId="20" type="noConversion"/>
  </si>
  <si>
    <t>Kontrolldatum:</t>
  </si>
  <si>
    <t>Check date:</t>
  </si>
  <si>
    <t>测量日期</t>
    <phoneticPr fontId="0" type="noConversion"/>
  </si>
  <si>
    <t>OWM</t>
  </si>
  <si>
    <t>optisches Wellenmesssystem</t>
  </si>
  <si>
    <t>OWS</t>
  </si>
  <si>
    <t>Optical wave measuring system</t>
  </si>
  <si>
    <t>光波测量系统</t>
    <phoneticPr fontId="20" type="noConversion"/>
  </si>
  <si>
    <t>Längeres Aussetzen der Produktion</t>
  </si>
  <si>
    <t>Longer interruption the production</t>
  </si>
  <si>
    <t>生产中断时间太长</t>
    <phoneticPr fontId="0" type="noConversion"/>
  </si>
  <si>
    <t>PG</t>
  </si>
  <si>
    <t>Profilmessgerät</t>
  </si>
  <si>
    <t>PRM</t>
  </si>
  <si>
    <t>Profile meter</t>
  </si>
  <si>
    <t>表面轮廓测量仪</t>
    <phoneticPr fontId="20" type="noConversion"/>
  </si>
  <si>
    <t>In SAP-PLM ablegen:</t>
  </si>
  <si>
    <t>File to SAP-PLM:</t>
  </si>
  <si>
    <r>
      <rPr>
        <sz val="11"/>
        <rFont val="宋体"/>
        <family val="2"/>
        <charset val="134"/>
      </rPr>
      <t>文件上传</t>
    </r>
    <r>
      <rPr>
        <sz val="11"/>
        <rFont val="Arial"/>
        <family val="2"/>
      </rPr>
      <t>SAP</t>
    </r>
  </si>
  <si>
    <t>PK</t>
  </si>
  <si>
    <t>Prüfkraftmaschine</t>
  </si>
  <si>
    <t>TM</t>
  </si>
  <si>
    <t>Test load machine</t>
  </si>
  <si>
    <t>载荷测试机</t>
    <phoneticPr fontId="20" type="noConversion"/>
  </si>
  <si>
    <t>Katalog</t>
  </si>
  <si>
    <t>Catalogue</t>
  </si>
  <si>
    <t>目录</t>
    <phoneticPr fontId="0" type="noConversion"/>
  </si>
  <si>
    <t>PP</t>
  </si>
  <si>
    <t>Profilprojektor</t>
  </si>
  <si>
    <t>Profile projector</t>
  </si>
  <si>
    <t>投影仪</t>
    <phoneticPr fontId="20" type="noConversion"/>
  </si>
  <si>
    <t>(Soll-Texte)</t>
  </si>
  <si>
    <t>(Specified text)</t>
  </si>
  <si>
    <t>规定的文本</t>
    <phoneticPr fontId="0" type="noConversion"/>
  </si>
  <si>
    <t>PS</t>
  </si>
  <si>
    <t>Prüfstift</t>
  </si>
  <si>
    <t>TP</t>
  </si>
  <si>
    <t>Test pin</t>
  </si>
  <si>
    <t>测试针</t>
    <phoneticPr fontId="20" type="noConversion"/>
  </si>
  <si>
    <t>neuer Unterlieferant</t>
  </si>
  <si>
    <t>New sub-supplier</t>
  </si>
  <si>
    <t>新供应商</t>
    <phoneticPr fontId="0" type="noConversion"/>
  </si>
  <si>
    <t>RD</t>
  </si>
  <si>
    <t>Rohrschellendummy</t>
  </si>
  <si>
    <t>PD</t>
  </si>
  <si>
    <t>Pipe clamp dummy</t>
    <phoneticPr fontId="20" type="noConversion"/>
  </si>
  <si>
    <t>管卡检具</t>
    <phoneticPr fontId="20" type="noConversion"/>
  </si>
  <si>
    <t>Werkzeugnummer</t>
  </si>
  <si>
    <t>Toolnumber</t>
  </si>
  <si>
    <t>模具编号</t>
    <phoneticPr fontId="0" type="noConversion"/>
  </si>
  <si>
    <t>RF</t>
  </si>
  <si>
    <t>Röntgenfluoreszenzgerät</t>
  </si>
  <si>
    <t>XF</t>
  </si>
  <si>
    <t>X-ray fluorescence</t>
    <phoneticPr fontId="20" type="noConversion"/>
  </si>
  <si>
    <r>
      <t>x</t>
    </r>
    <r>
      <rPr>
        <sz val="11"/>
        <rFont val="宋体"/>
        <family val="2"/>
        <charset val="134"/>
      </rPr>
      <t>射线测量仪</t>
    </r>
    <phoneticPr fontId="20" type="noConversion"/>
  </si>
  <si>
    <t>Fachzahl</t>
  </si>
  <si>
    <t>Subjectnumber</t>
  </si>
  <si>
    <t>科目编号</t>
    <phoneticPr fontId="0" type="noConversion"/>
  </si>
  <si>
    <t>RL</t>
  </si>
  <si>
    <t>Radiuslehre</t>
  </si>
  <si>
    <t>RG</t>
  </si>
  <si>
    <t>Radius gauge</t>
  </si>
  <si>
    <t>半径规</t>
    <phoneticPr fontId="20" type="noConversion"/>
  </si>
  <si>
    <t>Überprüfung-Review fischer</t>
  </si>
  <si>
    <r>
      <t>fish</t>
    </r>
    <r>
      <rPr>
        <sz val="11"/>
        <rFont val="宋体"/>
        <family val="2"/>
        <charset val="134"/>
      </rPr>
      <t>测试报告</t>
    </r>
  </si>
  <si>
    <t>RM</t>
  </si>
  <si>
    <t>Rauheitsmessgerät</t>
  </si>
  <si>
    <t>Roughness measuring device</t>
  </si>
  <si>
    <t>粗糙度仪</t>
    <phoneticPr fontId="20" type="noConversion"/>
  </si>
  <si>
    <t>Zeichnung</t>
  </si>
  <si>
    <t>Drawing</t>
  </si>
  <si>
    <t>图纸</t>
    <phoneticPr fontId="0" type="noConversion"/>
  </si>
  <si>
    <t>SP</t>
  </si>
  <si>
    <t>Sichtprüfung</t>
  </si>
  <si>
    <t>VC</t>
  </si>
  <si>
    <t>Visual check</t>
  </si>
  <si>
    <t>目视</t>
    <phoneticPr fontId="20" type="noConversion"/>
  </si>
  <si>
    <t>Werkstoffprüfung</t>
  </si>
  <si>
    <t>Material test</t>
  </si>
  <si>
    <t>原材料测试</t>
    <phoneticPr fontId="0" type="noConversion"/>
  </si>
  <si>
    <t>VMM</t>
  </si>
  <si>
    <t>Video-Messmikroskop</t>
  </si>
  <si>
    <t>VIM</t>
  </si>
  <si>
    <t>Video-measuring microscope</t>
  </si>
  <si>
    <t>金相显微镜</t>
    <phoneticPr fontId="20" type="noConversion"/>
  </si>
  <si>
    <t>Prozessfähigkeitsnachweis</t>
  </si>
  <si>
    <t>Proof of process qualification</t>
  </si>
  <si>
    <t>工艺确认证明</t>
    <phoneticPr fontId="0" type="noConversion"/>
  </si>
  <si>
    <t>WM</t>
  </si>
  <si>
    <t>Winkelmesser</t>
  </si>
  <si>
    <t>AG</t>
  </si>
  <si>
    <t>Angle gauge</t>
  </si>
  <si>
    <t>角度规</t>
    <phoneticPr fontId="20" type="noConversion"/>
  </si>
  <si>
    <t>Prüfmittelfähigkeitsnachweis</t>
  </si>
  <si>
    <t>Proof of test equipment qualification</t>
  </si>
  <si>
    <t>合格的测试仪器</t>
    <phoneticPr fontId="0" type="noConversion"/>
  </si>
  <si>
    <t>ZM</t>
  </si>
  <si>
    <t>Zugmaschine</t>
  </si>
  <si>
    <t>PM</t>
  </si>
  <si>
    <t>Pulling machine</t>
  </si>
  <si>
    <t>拉拔仪</t>
    <phoneticPr fontId="20" type="noConversion"/>
  </si>
  <si>
    <t>Sonstiges (Information, …)</t>
  </si>
  <si>
    <t>Others (Information, …)</t>
  </si>
  <si>
    <t>其它（信息）</t>
    <phoneticPr fontId="0" type="noConversion"/>
  </si>
  <si>
    <t>ZSD</t>
  </si>
  <si>
    <t xml:space="preserve">Zinkschichtdickenmessgerät  </t>
  </si>
  <si>
    <t xml:space="preserve">ZCT </t>
  </si>
  <si>
    <t>Zinc coating thickness measuring device</t>
  </si>
  <si>
    <t>锌厚仪</t>
    <phoneticPr fontId="20" type="noConversion"/>
  </si>
  <si>
    <t>Anlagen</t>
  </si>
  <si>
    <t>Attachment</t>
  </si>
  <si>
    <t>附件</t>
    <phoneticPr fontId="0" type="noConversion"/>
  </si>
  <si>
    <t>x</t>
  </si>
  <si>
    <t>E-Mail:</t>
  </si>
  <si>
    <t>E-mail:</t>
  </si>
  <si>
    <t>邮件</t>
    <phoneticPr fontId="0" type="noConversion"/>
  </si>
  <si>
    <t>Telefon:</t>
  </si>
  <si>
    <t>Phone:</t>
  </si>
  <si>
    <t>电话</t>
    <phoneticPr fontId="0" type="noConversion"/>
  </si>
  <si>
    <t>Unterschrift</t>
  </si>
  <si>
    <t>Signature</t>
  </si>
  <si>
    <t>签名</t>
    <phoneticPr fontId="0" type="noConversion"/>
  </si>
  <si>
    <t>Hier haben Sie die Möglichkeit, selbst Prüfmerkmale und dazugehörige Prüfmittel zu definieren, wenn diese nicht im Katalog (s.u.) vorhanden sind</t>
  </si>
  <si>
    <t>Bemerkungen</t>
  </si>
  <si>
    <t>Remarks</t>
  </si>
  <si>
    <t>备注</t>
    <phoneticPr fontId="0" type="noConversion"/>
  </si>
  <si>
    <t>Here you have the possibility to define inspection characteristics and corresponding test equipments, if these are not available in the catalogue (see below).</t>
  </si>
  <si>
    <t>Bestätigung Kunde</t>
  </si>
  <si>
    <t>Confirmation customer</t>
  </si>
  <si>
    <t>客户批准</t>
    <phoneticPr fontId="0" type="noConversion"/>
  </si>
  <si>
    <t>如果上述规定仍不满足实际需要，你可以在这里定义检验质量特性以及相应的测量仪器</t>
    <phoneticPr fontId="20" type="noConversion"/>
  </si>
  <si>
    <t>Bestätigung Lieferant (nur extern)</t>
  </si>
  <si>
    <t>Confirmation supplier (only extern)</t>
  </si>
  <si>
    <t>供应商批准</t>
    <phoneticPr fontId="0" type="noConversion"/>
  </si>
  <si>
    <t xml:space="preserve">Vorlagen für die richtige Beschriftung der Zeichnung </t>
  </si>
  <si>
    <t xml:space="preserve">Templates for the correct labeling of the drawing </t>
  </si>
  <si>
    <t xml:space="preserve">用于正确标示图纸的模板 </t>
  </si>
  <si>
    <t xml:space="preserve"> --&gt; siehe dazu auch in der Datei "fiwe-Arbeitsanweisung-Erstmusterprüfung-de" </t>
  </si>
  <si>
    <t xml:space="preserve"> --&gt; see also in the file "fiwe-Work-instruction-Initial-sample-test-report-en"</t>
  </si>
  <si>
    <t xml:space="preserve"> --&gt; 在文件中还可以看到 "fiwe-Work-instruction-Initial-sample-test-report-en"</t>
  </si>
  <si>
    <t>Artikelbezeichnung</t>
  </si>
  <si>
    <t>article description</t>
  </si>
  <si>
    <t>货号描述</t>
    <phoneticPr fontId="0" type="noConversion"/>
  </si>
  <si>
    <t>Deckblattbemusterung</t>
  </si>
  <si>
    <t>Cover sheet sampling</t>
  </si>
  <si>
    <t>首样报告封面</t>
    <phoneticPr fontId="20" type="noConversion"/>
  </si>
  <si>
    <t>Produktdatenblatt</t>
  </si>
  <si>
    <t>Product data sheet</t>
  </si>
  <si>
    <t>产品测试数据页面</t>
    <phoneticPr fontId="0" type="noConversion"/>
  </si>
  <si>
    <t>min</t>
  </si>
  <si>
    <t>最小</t>
    <phoneticPr fontId="20" type="noConversion"/>
  </si>
  <si>
    <t>max</t>
  </si>
  <si>
    <t>最大</t>
    <phoneticPr fontId="20" type="noConversion"/>
  </si>
  <si>
    <t xml:space="preserve">English </t>
  </si>
  <si>
    <t>Methode</t>
  </si>
  <si>
    <t>Abstandsmaß</t>
  </si>
  <si>
    <t>Pitch</t>
  </si>
  <si>
    <t>间距</t>
    <phoneticPr fontId="27" type="noConversion"/>
  </si>
  <si>
    <t>variabel</t>
  </si>
  <si>
    <t>Anleitung</t>
  </si>
  <si>
    <t>Instruction</t>
  </si>
  <si>
    <t>说明书</t>
    <phoneticPr fontId="27" type="noConversion"/>
  </si>
  <si>
    <t>attributiv</t>
  </si>
  <si>
    <t>Aussehen wie Muster</t>
  </si>
  <si>
    <t>Appearence like sample</t>
  </si>
  <si>
    <t>外观如样品</t>
    <phoneticPr fontId="27" type="noConversion"/>
  </si>
  <si>
    <t>Beschichtungsart</t>
    <phoneticPr fontId="20" type="noConversion"/>
  </si>
  <si>
    <t>Kind of coating</t>
    <phoneticPr fontId="20" type="noConversion"/>
  </si>
  <si>
    <t>涂层类型</t>
    <phoneticPr fontId="27" type="noConversion"/>
  </si>
  <si>
    <t>Biegewinkel</t>
  </si>
  <si>
    <t>Bending angle</t>
  </si>
  <si>
    <t>折弯角度</t>
    <phoneticPr fontId="27" type="noConversion"/>
  </si>
  <si>
    <t xml:space="preserve">Breite </t>
  </si>
  <si>
    <t>Width</t>
  </si>
  <si>
    <t>宽度</t>
    <phoneticPr fontId="27" type="noConversion"/>
  </si>
  <si>
    <t xml:space="preserve">Bruchdehnung </t>
  </si>
  <si>
    <t>Fracture elongation</t>
  </si>
  <si>
    <t>断面伸长率</t>
    <phoneticPr fontId="27" type="noConversion"/>
  </si>
  <si>
    <t>Brucheinschnürung</t>
  </si>
  <si>
    <t>Contraction at fracture</t>
  </si>
  <si>
    <t>断面收缩率</t>
    <phoneticPr fontId="27" type="noConversion"/>
  </si>
  <si>
    <t>Chargennummer vorhanden</t>
  </si>
  <si>
    <t>Batch No. existing</t>
  </si>
  <si>
    <t>现有批次号</t>
    <phoneticPr fontId="27" type="noConversion"/>
  </si>
  <si>
    <t xml:space="preserve">Dehngrenze </t>
  </si>
  <si>
    <t>Yield stress</t>
  </si>
  <si>
    <t>屈服应力</t>
    <phoneticPr fontId="27" type="noConversion"/>
  </si>
  <si>
    <t>Dicke / Stärke</t>
  </si>
  <si>
    <t>Thickness</t>
  </si>
  <si>
    <t>厚度</t>
    <phoneticPr fontId="27" type="noConversion"/>
  </si>
  <si>
    <t>Differenz</t>
  </si>
  <si>
    <t>Difference</t>
  </si>
  <si>
    <t>差异</t>
    <phoneticPr fontId="27" type="noConversion"/>
  </si>
  <si>
    <t>Drehmoment, Abdreh-</t>
  </si>
  <si>
    <t>Breaking torque</t>
  </si>
  <si>
    <t>破坏扭矩</t>
    <phoneticPr fontId="27" type="noConversion"/>
  </si>
  <si>
    <t>Drehsicherung, Aussenmaß</t>
  </si>
  <si>
    <t>Anti-Rotation device outer dimension</t>
  </si>
  <si>
    <t>防旋转装置外形尺寸</t>
    <phoneticPr fontId="27" type="noConversion"/>
  </si>
  <si>
    <t>Drehsicherung, Höhe</t>
  </si>
  <si>
    <t>Anti-Rotation device height</t>
  </si>
  <si>
    <t>防旋转装置高度</t>
    <phoneticPr fontId="27" type="noConversion"/>
  </si>
  <si>
    <t xml:space="preserve">Durchmesser </t>
  </si>
  <si>
    <t>Diameter</t>
  </si>
  <si>
    <t>直径</t>
    <phoneticPr fontId="27" type="noConversion"/>
  </si>
  <si>
    <t>Durchmesser, Außen</t>
    <phoneticPr fontId="20" type="noConversion"/>
  </si>
  <si>
    <t>Outer diameter</t>
  </si>
  <si>
    <t>外径</t>
    <phoneticPr fontId="27" type="noConversion"/>
  </si>
  <si>
    <t>Durchmesser, Geradenschnittpunkt</t>
    <phoneticPr fontId="20" type="noConversion"/>
  </si>
  <si>
    <t>Diameter, straigth cut point</t>
  </si>
  <si>
    <t>切线间距</t>
    <phoneticPr fontId="27" type="noConversion"/>
  </si>
  <si>
    <t>Durchmesser, Innen</t>
  </si>
  <si>
    <t>Inner diameter</t>
  </si>
  <si>
    <t>内径</t>
    <phoneticPr fontId="27" type="noConversion"/>
  </si>
  <si>
    <t>EAN-Code vorhanden</t>
  </si>
  <si>
    <t>EAN code existent</t>
  </si>
  <si>
    <r>
      <t>EAN</t>
    </r>
    <r>
      <rPr>
        <sz val="11"/>
        <rFont val="宋体"/>
        <family val="2"/>
        <charset val="134"/>
      </rPr>
      <t>代码存在</t>
    </r>
  </si>
  <si>
    <t>Ebenheit</t>
  </si>
  <si>
    <t>Flatness</t>
  </si>
  <si>
    <t>平面度</t>
    <phoneticPr fontId="27" type="noConversion"/>
  </si>
  <si>
    <t xml:space="preserve">Eckmaß </t>
  </si>
  <si>
    <t>Width across corners</t>
  </si>
  <si>
    <t>对角宽度</t>
    <phoneticPr fontId="27" type="noConversion"/>
  </si>
  <si>
    <t>Einhärtetiefe</t>
  </si>
  <si>
    <t>Hardening depth</t>
  </si>
  <si>
    <t>硬化层深度</t>
    <phoneticPr fontId="27" type="noConversion"/>
  </si>
  <si>
    <t>Etikett lt.SAP</t>
  </si>
  <si>
    <t>Label according to SAP</t>
  </si>
  <si>
    <r>
      <rPr>
        <sz val="11"/>
        <rFont val="宋体"/>
        <family val="2"/>
        <charset val="134"/>
      </rPr>
      <t>标签依据</t>
    </r>
    <r>
      <rPr>
        <sz val="11"/>
        <rFont val="Arial"/>
        <family val="2"/>
      </rPr>
      <t>SAP</t>
    </r>
  </si>
  <si>
    <t>Euro-Lochung</t>
  </si>
  <si>
    <t>Euro perforation-hole on the plastic bag</t>
    <phoneticPr fontId="20" type="noConversion"/>
  </si>
  <si>
    <t>塑料袋需打孔</t>
    <phoneticPr fontId="27" type="noConversion"/>
  </si>
  <si>
    <t>Farbe entspricht Vorgabe</t>
  </si>
  <si>
    <t>Colour meets requirements</t>
  </si>
  <si>
    <t>颜色满足要求</t>
    <phoneticPr fontId="27" type="noConversion"/>
  </si>
  <si>
    <t xml:space="preserve">Fase </t>
  </si>
  <si>
    <t>Chamfer</t>
  </si>
  <si>
    <t>倒角</t>
    <phoneticPr fontId="27" type="noConversion"/>
  </si>
  <si>
    <t>Fräsrippen vorhanden</t>
  </si>
  <si>
    <t>Shank ribs existent</t>
  </si>
  <si>
    <t>杆部斜筋存在</t>
    <phoneticPr fontId="27" type="noConversion"/>
  </si>
  <si>
    <t>Functional test</t>
  </si>
  <si>
    <t>功能测试</t>
    <phoneticPr fontId="27" type="noConversion"/>
  </si>
  <si>
    <t>Geradheit</t>
  </si>
  <si>
    <t>Straigthness</t>
  </si>
  <si>
    <t>直线度</t>
    <phoneticPr fontId="27" type="noConversion"/>
  </si>
  <si>
    <t>Gewinde, Durchmesser, Außen</t>
  </si>
  <si>
    <t>Thread, outer diameter</t>
  </si>
  <si>
    <t>螺纹，牙外径</t>
    <phoneticPr fontId="27" type="noConversion"/>
  </si>
  <si>
    <t>Gewinde, Durchmesser, Flanke</t>
  </si>
  <si>
    <t>Thread, flank diameter</t>
    <phoneticPr fontId="20" type="noConversion"/>
  </si>
  <si>
    <t>牙侧底径</t>
    <phoneticPr fontId="20" type="noConversion"/>
  </si>
  <si>
    <t>Gewinde, Durchmesser, Kern</t>
  </si>
  <si>
    <t>Thread, core diameter</t>
  </si>
  <si>
    <t>螺纹，牙底径</t>
    <phoneticPr fontId="27" type="noConversion"/>
  </si>
  <si>
    <t>Gewinde, Gängigkeit</t>
  </si>
  <si>
    <t>Thread, well running</t>
  </si>
  <si>
    <t>螺纹，运转良好</t>
    <phoneticPr fontId="27" type="noConversion"/>
  </si>
  <si>
    <t xml:space="preserve">Gewinde, Steigung  </t>
  </si>
  <si>
    <t>Thread, pitch</t>
  </si>
  <si>
    <t>螺纹间距</t>
    <phoneticPr fontId="27" type="noConversion"/>
  </si>
  <si>
    <t>Gleitbeschichtung</t>
  </si>
  <si>
    <t>Slide coating</t>
  </si>
  <si>
    <t>滑涂层</t>
    <phoneticPr fontId="27" type="noConversion"/>
  </si>
  <si>
    <t xml:space="preserve">Härte </t>
  </si>
  <si>
    <t>Hardness</t>
  </si>
  <si>
    <t>硬度</t>
    <phoneticPr fontId="27" type="noConversion"/>
  </si>
  <si>
    <t xml:space="preserve">Höhe </t>
  </si>
  <si>
    <t>Height</t>
  </si>
  <si>
    <t>高度</t>
    <phoneticPr fontId="27" type="noConversion"/>
  </si>
  <si>
    <t xml:space="preserve">Innenabstand </t>
  </si>
  <si>
    <t>Inner distance</t>
  </si>
  <si>
    <t>内距</t>
    <phoneticPr fontId="27" type="noConversion"/>
  </si>
  <si>
    <t>Kantenmaß</t>
  </si>
  <si>
    <t>Edge measurement</t>
  </si>
  <si>
    <t>边缘测量</t>
    <phoneticPr fontId="27" type="noConversion"/>
  </si>
  <si>
    <t>Koaxialität</t>
  </si>
  <si>
    <t>Coaxiality</t>
  </si>
  <si>
    <t>同轴线度</t>
    <phoneticPr fontId="27" type="noConversion"/>
  </si>
  <si>
    <t>Konzentrizität</t>
  </si>
  <si>
    <t>Concentricity</t>
  </si>
  <si>
    <t>同心度</t>
    <phoneticPr fontId="27" type="noConversion"/>
  </si>
  <si>
    <t xml:space="preserve">Länge </t>
  </si>
  <si>
    <t>Length</t>
  </si>
  <si>
    <t>长度</t>
    <phoneticPr fontId="27" type="noConversion"/>
  </si>
  <si>
    <t>Längenposition, Geradenschnittpunkt</t>
  </si>
  <si>
    <t xml:space="preserve">Length postition, straight </t>
  </si>
  <si>
    <t>直线度</t>
    <phoneticPr fontId="20" type="noConversion"/>
  </si>
  <si>
    <t>Lauf</t>
  </si>
  <si>
    <t>Circular run-out</t>
  </si>
  <si>
    <t>圆跳动</t>
    <phoneticPr fontId="27" type="noConversion"/>
  </si>
  <si>
    <t>Lauf, Gesamt</t>
  </si>
  <si>
    <t>Total run-out</t>
  </si>
  <si>
    <t>全跳动</t>
    <phoneticPr fontId="27" type="noConversion"/>
  </si>
  <si>
    <t>Lochungen lt. Zeichnung</t>
  </si>
  <si>
    <t>Punched holes according to drawing</t>
  </si>
  <si>
    <t>按图纸打孔</t>
    <phoneticPr fontId="27" type="noConversion"/>
  </si>
  <si>
    <t>Materialprüfung</t>
  </si>
  <si>
    <t>材料检验</t>
    <phoneticPr fontId="27" type="noConversion"/>
  </si>
  <si>
    <t>Mutter, Höhe</t>
  </si>
  <si>
    <t>Nut height</t>
  </si>
  <si>
    <t>螺母高度</t>
    <phoneticPr fontId="27" type="noConversion"/>
  </si>
  <si>
    <t>Öffnungsmaß</t>
  </si>
  <si>
    <t>Opening width</t>
  </si>
  <si>
    <t>开口宽度</t>
    <phoneticPr fontId="27" type="noConversion"/>
  </si>
  <si>
    <t xml:space="preserve">Parallelität </t>
  </si>
  <si>
    <t>Parallelism</t>
  </si>
  <si>
    <t>平行度</t>
    <phoneticPr fontId="27" type="noConversion"/>
  </si>
  <si>
    <t>Passivierung</t>
  </si>
  <si>
    <t>Passivation</t>
  </si>
  <si>
    <t>钝化处理</t>
    <phoneticPr fontId="27" type="noConversion"/>
  </si>
  <si>
    <t>Phillips, Form und Sitz</t>
  </si>
  <si>
    <t xml:space="preserve">Phillips form and fit </t>
  </si>
  <si>
    <t>十字槽形状和配合</t>
    <phoneticPr fontId="27" type="noConversion"/>
  </si>
  <si>
    <t>Phillips, Tiefe</t>
  </si>
  <si>
    <t>Phillips depth</t>
  </si>
  <si>
    <t>十字槽槽深</t>
    <phoneticPr fontId="27" type="noConversion"/>
  </si>
  <si>
    <t>Position</t>
  </si>
  <si>
    <t>位置</t>
    <phoneticPr fontId="27" type="noConversion"/>
  </si>
  <si>
    <t>Pozi, Form und Sitz</t>
  </si>
  <si>
    <t xml:space="preserve">Pozi form and fit </t>
  </si>
  <si>
    <t>米字槽形状和配合</t>
    <phoneticPr fontId="27" type="noConversion"/>
  </si>
  <si>
    <t>Pozi, Tiefe</t>
  </si>
  <si>
    <t>Pozi depth</t>
  </si>
  <si>
    <t>米字槽槽深</t>
    <phoneticPr fontId="27" type="noConversion"/>
  </si>
  <si>
    <t xml:space="preserve">Prägung </t>
  </si>
  <si>
    <t>Embossing</t>
  </si>
  <si>
    <t>压花</t>
    <phoneticPr fontId="27" type="noConversion"/>
  </si>
  <si>
    <t>Profil einer beliebigen Fläche</t>
  </si>
  <si>
    <t>Profile any surface</t>
  </si>
  <si>
    <t>面轮廓度</t>
    <phoneticPr fontId="27" type="noConversion"/>
  </si>
  <si>
    <t>Prüfkraft</t>
  </si>
  <si>
    <t>Proof Load</t>
  </si>
  <si>
    <t>标准荷载</t>
    <phoneticPr fontId="27" type="noConversion"/>
  </si>
  <si>
    <t>Radius</t>
  </si>
  <si>
    <t>半径</t>
    <phoneticPr fontId="27" type="noConversion"/>
  </si>
  <si>
    <t>Rauhigkeit</t>
  </si>
  <si>
    <t>Roughness</t>
  </si>
  <si>
    <t>粗糙度</t>
    <phoneticPr fontId="27" type="noConversion"/>
  </si>
  <si>
    <t>Rechtwinkligkeit</t>
  </si>
  <si>
    <t>Perpendicularity</t>
  </si>
  <si>
    <t>垂直度</t>
    <phoneticPr fontId="27" type="noConversion"/>
  </si>
  <si>
    <t>Rückstandsfrei</t>
  </si>
  <si>
    <t>Residue-free</t>
  </si>
  <si>
    <t>无残渣</t>
    <phoneticPr fontId="27" type="noConversion"/>
  </si>
  <si>
    <t>Rundheit</t>
  </si>
  <si>
    <t>Roundness</t>
  </si>
  <si>
    <t>圆度</t>
    <phoneticPr fontId="27" type="noConversion"/>
  </si>
  <si>
    <t xml:space="preserve">Schlüsselweite </t>
  </si>
  <si>
    <t>Wrench size</t>
  </si>
  <si>
    <t>扳手尺寸</t>
    <phoneticPr fontId="27" type="noConversion"/>
  </si>
  <si>
    <t>Schraubensicherung</t>
  </si>
  <si>
    <t>Screw locking</t>
  </si>
  <si>
    <t>螺丝锁紧</t>
    <phoneticPr fontId="20" type="noConversion"/>
  </si>
  <si>
    <t>Schweissnaht</t>
  </si>
  <si>
    <t>Welding seam</t>
  </si>
  <si>
    <t>焊缝</t>
    <phoneticPr fontId="27" type="noConversion"/>
  </si>
  <si>
    <t>Schweißpunkt</t>
  </si>
  <si>
    <t>Welding points</t>
  </si>
  <si>
    <t>焊接点</t>
    <phoneticPr fontId="27" type="noConversion"/>
  </si>
  <si>
    <t>目视检验</t>
    <phoneticPr fontId="27" type="noConversion"/>
  </si>
  <si>
    <t>Sicke / Einkerbung</t>
  </si>
  <si>
    <t>Corrugation / Notch</t>
  </si>
  <si>
    <t>凹槽/沟槽</t>
    <phoneticPr fontId="27" type="noConversion"/>
  </si>
  <si>
    <t>Spannbereich</t>
  </si>
  <si>
    <t>Clamping range</t>
  </si>
  <si>
    <t>管径范围</t>
    <phoneticPr fontId="27" type="noConversion"/>
  </si>
  <si>
    <t>Spitzenform</t>
  </si>
  <si>
    <t>Spike form</t>
  </si>
  <si>
    <t>尖部形状</t>
    <phoneticPr fontId="20" type="noConversion"/>
  </si>
  <si>
    <t>Stirnseite, Vertiefung</t>
  </si>
  <si>
    <t>Front face indentation</t>
  </si>
  <si>
    <t>正面凹陷</t>
  </si>
  <si>
    <t>Streckgrenze</t>
  </si>
  <si>
    <t>Yield strength</t>
  </si>
  <si>
    <t>屈服强度</t>
    <phoneticPr fontId="27" type="noConversion"/>
  </si>
  <si>
    <t xml:space="preserve">Tiefe </t>
  </si>
  <si>
    <t>Depth</t>
  </si>
  <si>
    <t>深度</t>
    <phoneticPr fontId="27" type="noConversion"/>
  </si>
  <si>
    <t>Torx, Form und Sitz</t>
  </si>
  <si>
    <t xml:space="preserve">Torx form and fit </t>
  </si>
  <si>
    <t>梅花槽形状和配合</t>
    <phoneticPr fontId="27" type="noConversion"/>
  </si>
  <si>
    <t>Torx, Tiefe</t>
  </si>
  <si>
    <t>Torx depth</t>
  </si>
  <si>
    <t>梅花槽槽深</t>
    <phoneticPr fontId="27" type="noConversion"/>
  </si>
  <si>
    <t>Verpackung ohne Beschädigung</t>
  </si>
  <si>
    <t>Packing without damage</t>
  </si>
  <si>
    <t>包装无损坏</t>
    <phoneticPr fontId="27" type="noConversion"/>
  </si>
  <si>
    <t>Verpackung, Inhalt</t>
  </si>
  <si>
    <t>Content of packaging</t>
  </si>
  <si>
    <t>包装内容</t>
    <phoneticPr fontId="27" type="noConversion"/>
  </si>
  <si>
    <t>Verpackung, Sichtprüfung</t>
  </si>
  <si>
    <t>Visual check packaging</t>
  </si>
  <si>
    <t>包装目视检验</t>
    <phoneticPr fontId="27" type="noConversion"/>
  </si>
  <si>
    <t>Vollständigkeit</t>
  </si>
  <si>
    <t>Completeness</t>
  </si>
  <si>
    <t>完整性</t>
    <phoneticPr fontId="27" type="noConversion"/>
  </si>
  <si>
    <t>Winkel</t>
  </si>
  <si>
    <t>Angle</t>
  </si>
  <si>
    <t>角度</t>
    <phoneticPr fontId="27" type="noConversion"/>
  </si>
  <si>
    <t xml:space="preserve">Zinkschicht, Dicke </t>
  </si>
  <si>
    <t>Zinc coating thickness</t>
  </si>
  <si>
    <t>镀锌层厚度</t>
    <phoneticPr fontId="27" type="noConversion"/>
  </si>
  <si>
    <t xml:space="preserve">Zugfestigkeit </t>
  </si>
  <si>
    <t>Tensile strength</t>
  </si>
  <si>
    <t>抗拉强度</t>
    <phoneticPr fontId="27" type="noConversion"/>
  </si>
  <si>
    <t>Zusammenbau vollständig</t>
  </si>
  <si>
    <t>Assembly complete</t>
  </si>
  <si>
    <t>装配完整</t>
    <phoneticPr fontId="27" type="noConversion"/>
  </si>
  <si>
    <t xml:space="preserve">Merkmalskatalog Deutsch </t>
  </si>
  <si>
    <t xml:space="preserve">Characteristics catalogue english </t>
  </si>
  <si>
    <t>Version</t>
  </si>
  <si>
    <t>Versionierungsgrund</t>
  </si>
  <si>
    <t>geändert von:</t>
  </si>
  <si>
    <t>freigegeben von:</t>
  </si>
  <si>
    <t>0</t>
  </si>
  <si>
    <t>Erstellung Masterbericht EMPB / MP</t>
  </si>
  <si>
    <t>Tanja Schlesiger</t>
  </si>
  <si>
    <t>1</t>
  </si>
  <si>
    <t>Masterbericht aktualisiert und erweitert</t>
  </si>
  <si>
    <t>Steffi Häßler</t>
  </si>
  <si>
    <t>Achim Appich</t>
  </si>
  <si>
    <t>2</t>
  </si>
  <si>
    <t>Etikett lt. Agile durch Etikett lt. SAP ersetzt</t>
  </si>
  <si>
    <t>Wolfgang Kocheise</t>
  </si>
  <si>
    <t>3</t>
  </si>
  <si>
    <t>Deckblatt hinzugefügt und alles angepasst</t>
  </si>
  <si>
    <t>Thomas Keller</t>
  </si>
  <si>
    <t>4</t>
  </si>
  <si>
    <t>Fehler behoben und Ubersicht W+Z 1-18 hinzugefügt</t>
  </si>
  <si>
    <t>5</t>
  </si>
  <si>
    <t>Angepasst für fischer Prozesswelt</t>
  </si>
  <si>
    <t>6</t>
  </si>
  <si>
    <t>Aktualisiert</t>
  </si>
  <si>
    <t>Steffi Gade</t>
  </si>
  <si>
    <t>7</t>
  </si>
  <si>
    <t>Chinesich hinzugefügt</t>
  </si>
  <si>
    <t>Durchmesser, Geradenschnittpunkt</t>
  </si>
  <si>
    <t>Euro perforation</t>
  </si>
  <si>
    <t>Front face recession</t>
  </si>
  <si>
    <t>Kind of coating</t>
  </si>
  <si>
    <t>Beschichtungsart</t>
  </si>
  <si>
    <t>Durchmesser, Außen</t>
  </si>
  <si>
    <t>Thread, flank diameter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</si>
</sst>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0"/>
    <numFmt numFmtId="166" formatCode="00#"/>
    <numFmt numFmtId="167" formatCode="0.0000"/>
  </numFmts>
  <fonts count="36">
    <font>
      <sz val="10"/>
      <color theme="1"/>
      <name val="Arial"/>
      <family val="2"/>
    </font>
    <font>
      <sz val="20"/>
      <name val="Arial"/>
      <family val="2"/>
    </font>
    <font>
      <b/>
      <sz val="14"/>
      <name val="Arial"/>
      <family val="2"/>
    </font>
    <font>
      <sz val="11"/>
      <name val="Arial"/>
      <family val="2"/>
    </font>
    <font>
      <b/>
      <sz val="12"/>
      <name val="Arial"/>
      <family val="2"/>
    </font>
    <font>
      <sz val="14"/>
      <name val="Arial"/>
      <family val="2"/>
    </font>
    <font>
      <b/>
      <sz val="14"/>
      <color theme="1"/>
      <name val="Arial"/>
      <family val="2"/>
    </font>
    <font>
      <b/>
      <sz val="11"/>
      <name val="Arial"/>
      <family val="2"/>
    </font>
    <font>
      <sz val="11"/>
      <color rgb="FFFF0000"/>
      <name val="Arial"/>
      <family val="2"/>
    </font>
    <font>
      <b/>
      <sz val="11"/>
      <color rgb="FFFF0000"/>
      <name val="Arial"/>
      <family val="2"/>
    </font>
    <font>
      <sz val="8"/>
      <color indexed="81"/>
      <name val="Tahoma"/>
      <family val="2"/>
    </font>
    <font>
      <b/>
      <sz val="8"/>
      <color indexed="81"/>
      <name val="Tahoma"/>
      <family val="2"/>
    </font>
    <font>
      <sz val="10"/>
      <name val="Arial"/>
      <family val="2"/>
    </font>
    <font>
      <b/>
      <sz val="36"/>
      <color rgb="FF66FF33"/>
      <name val="Wingdings 2"/>
      <family val="1"/>
      <charset val="2"/>
    </font>
    <font>
      <b/>
      <u/>
      <sz val="11"/>
      <name val="Arial"/>
      <family val="2"/>
    </font>
    <font>
      <sz val="11"/>
      <color rgb="FF66FF33"/>
      <name val="Wingdings 2"/>
      <family val="1"/>
      <charset val="2"/>
    </font>
    <font>
      <sz val="11"/>
      <color rgb="FFFF0000"/>
      <name val="Wingdings 2"/>
      <family val="1"/>
      <charset val="2"/>
    </font>
    <font>
      <b/>
      <sz val="10"/>
      <name val="Arial"/>
      <family val="2"/>
    </font>
    <font>
      <sz val="10"/>
      <name val="MS Sans Serif"/>
      <family val="2"/>
    </font>
    <font>
      <b/>
      <sz val="8"/>
      <name val="Arial"/>
      <family val="2"/>
    </font>
    <font>
      <sz val="8"/>
      <name val="Arial"/>
      <family val="2"/>
    </font>
    <font>
      <b/>
      <sz val="11"/>
      <color theme="1"/>
      <name val="Arial"/>
      <family val="2"/>
    </font>
    <font>
      <sz val="9"/>
      <name val="Arial"/>
      <family val="2"/>
    </font>
    <font>
      <b/>
      <sz val="10"/>
      <color indexed="81"/>
      <name val="Tahoma"/>
      <family val="2"/>
    </font>
    <font>
      <sz val="9"/>
      <color indexed="81"/>
      <name val="Segoe UI"/>
      <family val="2"/>
    </font>
    <font>
      <b/>
      <sz val="9"/>
      <color indexed="81"/>
      <name val="Segoe UI"/>
      <family val="2"/>
    </font>
    <font>
      <b/>
      <sz val="10"/>
      <color theme="1"/>
      <name val="Arial"/>
      <family val="2"/>
    </font>
    <font>
      <sz val="10"/>
      <name val="宋体"/>
      <family val="2"/>
      <charset val="134"/>
    </font>
    <font>
      <sz val="11"/>
      <name val="宋体"/>
      <family val="2"/>
      <charset val="134"/>
    </font>
    <font>
      <sz val="10"/>
      <color theme="1"/>
      <name val="宋体"/>
      <family val="2"/>
      <charset val="134"/>
    </font>
    <font>
      <sz val="11"/>
      <name val="Arial"/>
      <family val="2"/>
      <charset val="134"/>
    </font>
    <font>
      <sz val="11"/>
      <color rgb="FF333333"/>
      <name val="Arial"/>
      <family val="2"/>
    </font>
    <font>
      <sz val="10"/>
      <name val="微软雅黑"/>
      <family val="2"/>
      <charset val="134"/>
    </font>
    <font>
      <sz val="9"/>
      <name val="宋体"/>
      <family val="3"/>
      <charset val="134"/>
    </font>
    <font>
      <u/>
      <sz val="10"/>
      <color theme="10"/>
      <name val="Arial"/>
      <family val="2"/>
    </font>
    <font>
      <b/>
      <sz val="10"/>
      <color rgb="FFFF0000"/>
      <name val="Arial"/>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ck">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ck">
        <color indexed="64"/>
      </right>
      <top style="medium">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thick">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3" fillId="0" borderId="0"/>
    <xf numFmtId="0" fontId="3" fillId="0" borderId="0"/>
    <xf numFmtId="0" fontId="18" fillId="0" borderId="0"/>
    <xf numFmtId="0" fontId="12" fillId="0" borderId="0"/>
    <xf numFmtId="0" fontId="34" fillId="0" borderId="0" applyNumberFormat="0" applyFill="0" applyBorder="0" applyAlignment="0" applyProtection="0"/>
  </cellStyleXfs>
  <cellXfs count="359">
    <xf numFmtId="0" fontId="0" fillId="0" borderId="0" xfId="0"/>
    <xf numFmtId="0" fontId="3" fillId="0" borderId="0" xfId="1"/>
    <xf numFmtId="0" fontId="2" fillId="3" borderId="4" xfId="0" applyFont="1" applyFill="1" applyBorder="1" applyAlignment="1" applyProtection="1">
      <alignment horizontal="center" vertical="center"/>
      <protection hidden="1"/>
    </xf>
    <xf numFmtId="0" fontId="5" fillId="3" borderId="0" xfId="0" applyFont="1" applyFill="1" applyProtection="1">
      <protection hidden="1"/>
    </xf>
    <xf numFmtId="0" fontId="5" fillId="3" borderId="0" xfId="0" applyFont="1" applyFill="1" applyAlignment="1" applyProtection="1">
      <alignment horizontal="center"/>
      <protection hidden="1"/>
    </xf>
    <xf numFmtId="0" fontId="3" fillId="3" borderId="0" xfId="1" applyFill="1"/>
    <xf numFmtId="0" fontId="3" fillId="3" borderId="5" xfId="1" applyFill="1" applyBorder="1"/>
    <xf numFmtId="0" fontId="3" fillId="2" borderId="1" xfId="1" applyFill="1" applyBorder="1"/>
    <xf numFmtId="0" fontId="3" fillId="2" borderId="2" xfId="1" applyFill="1" applyBorder="1"/>
    <xf numFmtId="0" fontId="3" fillId="2" borderId="3" xfId="1" applyFill="1" applyBorder="1"/>
    <xf numFmtId="0" fontId="7" fillId="4" borderId="9" xfId="1" applyFont="1" applyFill="1" applyBorder="1"/>
    <xf numFmtId="1" fontId="3" fillId="0" borderId="0" xfId="1" applyNumberFormat="1" applyAlignment="1">
      <alignment vertical="center"/>
    </xf>
    <xf numFmtId="0" fontId="3" fillId="2" borderId="0" xfId="1" applyFill="1"/>
    <xf numFmtId="0" fontId="7" fillId="4" borderId="11" xfId="1" applyFont="1" applyFill="1" applyBorder="1"/>
    <xf numFmtId="0" fontId="3" fillId="2" borderId="5" xfId="1" applyFill="1" applyBorder="1"/>
    <xf numFmtId="0" fontId="3" fillId="4" borderId="13" xfId="1" applyFill="1" applyBorder="1"/>
    <xf numFmtId="0" fontId="7" fillId="0" borderId="14" xfId="1" applyFont="1" applyBorder="1" applyAlignment="1" applyProtection="1">
      <alignment horizontal="center" vertical="center"/>
      <protection locked="0"/>
    </xf>
    <xf numFmtId="0" fontId="3" fillId="4" borderId="15" xfId="1" applyFill="1" applyBorder="1"/>
    <xf numFmtId="0" fontId="3" fillId="2" borderId="4" xfId="1" applyFill="1" applyBorder="1"/>
    <xf numFmtId="0" fontId="7" fillId="4" borderId="22" xfId="1" applyFont="1" applyFill="1" applyBorder="1" applyAlignment="1">
      <alignment horizontal="left" vertical="center"/>
    </xf>
    <xf numFmtId="0" fontId="3" fillId="0" borderId="22" xfId="1" applyBorder="1" applyAlignment="1" applyProtection="1">
      <alignment horizontal="left" vertical="center"/>
      <protection locked="0"/>
    </xf>
    <xf numFmtId="1" fontId="3" fillId="0" borderId="0" xfId="1" applyNumberFormat="1" applyAlignment="1">
      <alignment horizontal="left" vertical="center"/>
    </xf>
    <xf numFmtId="0" fontId="3" fillId="0" borderId="26" xfId="1" applyBorder="1" applyAlignment="1" applyProtection="1">
      <alignment horizontal="left" vertical="center"/>
      <protection locked="0"/>
    </xf>
    <xf numFmtId="0" fontId="7" fillId="4" borderId="22" xfId="1" applyFont="1" applyFill="1" applyBorder="1"/>
    <xf numFmtId="0" fontId="3" fillId="2" borderId="2" xfId="1" applyFill="1" applyBorder="1" applyAlignment="1">
      <alignment horizontal="center" vertical="center"/>
    </xf>
    <xf numFmtId="0" fontId="3" fillId="0" borderId="0" xfId="1" applyAlignment="1">
      <alignment horizontal="center"/>
    </xf>
    <xf numFmtId="0" fontId="3" fillId="2" borderId="0" xfId="2" applyFill="1" applyAlignment="1">
      <alignment horizontal="center"/>
    </xf>
    <xf numFmtId="0" fontId="3" fillId="2" borderId="0" xfId="2" applyFill="1"/>
    <xf numFmtId="0" fontId="8" fillId="2" borderId="37" xfId="2" applyFont="1" applyFill="1" applyBorder="1"/>
    <xf numFmtId="0" fontId="8" fillId="2" borderId="17" xfId="2" applyFont="1" applyFill="1" applyBorder="1"/>
    <xf numFmtId="0" fontId="8" fillId="2" borderId="17" xfId="2" applyFont="1" applyFill="1" applyBorder="1" applyAlignment="1">
      <alignment horizontal="center"/>
    </xf>
    <xf numFmtId="0" fontId="9" fillId="2" borderId="17" xfId="2" applyFont="1" applyFill="1" applyBorder="1"/>
    <xf numFmtId="0" fontId="3" fillId="2" borderId="17" xfId="2" applyFill="1" applyBorder="1"/>
    <xf numFmtId="0" fontId="3" fillId="2" borderId="18" xfId="2" applyFill="1" applyBorder="1"/>
    <xf numFmtId="0" fontId="3" fillId="0" borderId="0" xfId="0" applyFont="1" applyProtection="1">
      <protection hidden="1"/>
    </xf>
    <xf numFmtId="0" fontId="12" fillId="0" borderId="32" xfId="0" applyFont="1" applyBorder="1" applyProtection="1">
      <protection hidden="1"/>
    </xf>
    <xf numFmtId="0" fontId="12" fillId="0" borderId="32" xfId="0" applyFont="1" applyBorder="1" applyAlignment="1" applyProtection="1">
      <alignment horizontal="center"/>
      <protection hidden="1"/>
    </xf>
    <xf numFmtId="0" fontId="7" fillId="5" borderId="17" xfId="0" applyFont="1" applyFill="1" applyBorder="1" applyProtection="1">
      <protection hidden="1"/>
    </xf>
    <xf numFmtId="0" fontId="12" fillId="0" borderId="0" xfId="0" applyFont="1" applyProtection="1">
      <protection hidden="1"/>
    </xf>
    <xf numFmtId="0" fontId="12" fillId="0" borderId="0" xfId="0" applyFont="1" applyAlignment="1" applyProtection="1">
      <alignment horizontal="center"/>
      <protection hidden="1"/>
    </xf>
    <xf numFmtId="0" fontId="7" fillId="5" borderId="17" xfId="0" applyFont="1" applyFill="1" applyBorder="1" applyAlignment="1" applyProtection="1">
      <alignment horizontal="center"/>
      <protection hidden="1"/>
    </xf>
    <xf numFmtId="0" fontId="3" fillId="0" borderId="0" xfId="0" applyFont="1" applyAlignment="1" applyProtection="1">
      <alignment horizontal="left"/>
      <protection hidden="1"/>
    </xf>
    <xf numFmtId="0" fontId="12" fillId="0" borderId="0" xfId="0" applyFont="1" applyAlignment="1" applyProtection="1">
      <alignment horizontal="left"/>
      <protection hidden="1"/>
    </xf>
    <xf numFmtId="0" fontId="12" fillId="0" borderId="40" xfId="0" applyFont="1" applyBorder="1" applyProtection="1">
      <protection hidden="1"/>
    </xf>
    <xf numFmtId="0" fontId="12" fillId="0" borderId="41" xfId="0" applyFont="1" applyBorder="1" applyProtection="1">
      <protection hidden="1"/>
    </xf>
    <xf numFmtId="0" fontId="2"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12"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0" fillId="0" borderId="0" xfId="0" applyAlignment="1" applyProtection="1">
      <alignment horizontal="center" vertical="center"/>
      <protection hidden="1"/>
    </xf>
    <xf numFmtId="0" fontId="5" fillId="0" borderId="0" xfId="0" applyFont="1" applyAlignment="1" applyProtection="1">
      <alignment horizontal="left" vertical="center"/>
      <protection hidden="1"/>
    </xf>
    <xf numFmtId="0" fontId="12" fillId="0" borderId="0" xfId="0" applyFont="1" applyAlignment="1" applyProtection="1">
      <alignment vertical="center"/>
      <protection hidden="1"/>
    </xf>
    <xf numFmtId="0" fontId="17" fillId="0" borderId="0" xfId="0" applyFont="1" applyAlignment="1" applyProtection="1">
      <alignment vertical="center"/>
      <protection hidden="1"/>
    </xf>
    <xf numFmtId="0" fontId="3" fillId="0" borderId="0" xfId="0" applyFont="1" applyAlignment="1" applyProtection="1">
      <alignment horizontal="center"/>
      <protection hidden="1"/>
    </xf>
    <xf numFmtId="0" fontId="0" fillId="0" borderId="0" xfId="0" applyAlignment="1" applyProtection="1">
      <alignment horizontal="left" vertical="center"/>
      <protection hidden="1"/>
    </xf>
    <xf numFmtId="0" fontId="3" fillId="0" borderId="0" xfId="0" applyFont="1" applyAlignment="1" applyProtection="1">
      <alignment horizontal="right"/>
      <protection hidden="1"/>
    </xf>
    <xf numFmtId="49" fontId="0" fillId="0" borderId="0" xfId="0" applyNumberFormat="1" applyAlignment="1" applyProtection="1">
      <alignment horizontal="center" vertical="center"/>
      <protection hidden="1"/>
    </xf>
    <xf numFmtId="0" fontId="3" fillId="0" borderId="1" xfId="0" applyFont="1" applyBorder="1" applyAlignment="1" applyProtection="1">
      <alignment horizontal="center"/>
      <protection hidden="1"/>
    </xf>
    <xf numFmtId="0" fontId="3" fillId="0" borderId="2" xfId="0" applyFont="1" applyBorder="1" applyProtection="1">
      <protection hidden="1"/>
    </xf>
    <xf numFmtId="0" fontId="3" fillId="0" borderId="2" xfId="0" applyFont="1" applyBorder="1" applyAlignment="1" applyProtection="1">
      <alignment horizontal="center"/>
      <protection hidden="1"/>
    </xf>
    <xf numFmtId="0" fontId="3" fillId="0" borderId="4" xfId="0" applyFont="1" applyBorder="1" applyAlignment="1" applyProtection="1">
      <alignment horizontal="center"/>
      <protection locked="0"/>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3" fillId="0" borderId="0" xfId="0" applyFont="1" applyProtection="1">
      <protection locked="0"/>
    </xf>
    <xf numFmtId="0" fontId="3" fillId="0" borderId="4" xfId="0" applyFont="1" applyBorder="1" applyAlignment="1" applyProtection="1">
      <alignment horizontal="center"/>
      <protection hidden="1"/>
    </xf>
    <xf numFmtId="0" fontId="17" fillId="0" borderId="0" xfId="0" applyFont="1" applyAlignment="1" applyProtection="1">
      <alignment horizontal="left" vertical="center"/>
      <protection hidden="1"/>
    </xf>
    <xf numFmtId="164" fontId="3" fillId="0" borderId="0" xfId="0" applyNumberFormat="1" applyFont="1" applyProtection="1">
      <protection hidden="1"/>
    </xf>
    <xf numFmtId="0" fontId="3" fillId="6" borderId="4" xfId="0" applyFont="1" applyFill="1" applyBorder="1" applyAlignment="1" applyProtection="1">
      <alignment horizontal="center"/>
      <protection locked="0"/>
    </xf>
    <xf numFmtId="0" fontId="3" fillId="6" borderId="0" xfId="0" applyFont="1" applyFill="1" applyAlignment="1" applyProtection="1">
      <alignment horizontal="left"/>
      <protection locked="0"/>
    </xf>
    <xf numFmtId="0" fontId="3" fillId="6" borderId="0" xfId="0" applyFont="1" applyFill="1" applyAlignment="1" applyProtection="1">
      <alignment horizontal="center"/>
      <protection locked="0"/>
    </xf>
    <xf numFmtId="0" fontId="3" fillId="6" borderId="5" xfId="0" applyFont="1" applyFill="1" applyBorder="1" applyProtection="1">
      <protection locked="0"/>
    </xf>
    <xf numFmtId="0" fontId="3" fillId="6" borderId="37" xfId="0" applyFont="1" applyFill="1" applyBorder="1" applyAlignment="1" applyProtection="1">
      <alignment horizontal="center"/>
      <protection locked="0"/>
    </xf>
    <xf numFmtId="0" fontId="3" fillId="6" borderId="17" xfId="0" applyFont="1" applyFill="1" applyBorder="1" applyAlignment="1" applyProtection="1">
      <alignment horizontal="left"/>
      <protection locked="0"/>
    </xf>
    <xf numFmtId="0" fontId="3" fillId="6" borderId="17" xfId="0" applyFont="1" applyFill="1" applyBorder="1" applyAlignment="1" applyProtection="1">
      <alignment horizontal="center"/>
      <protection locked="0"/>
    </xf>
    <xf numFmtId="0" fontId="3" fillId="6" borderId="18" xfId="0" applyFont="1" applyFill="1" applyBorder="1" applyProtection="1">
      <protection locked="0"/>
    </xf>
    <xf numFmtId="0" fontId="12" fillId="0" borderId="0" xfId="0" applyFont="1" applyAlignment="1">
      <alignment vertical="center"/>
    </xf>
    <xf numFmtId="164" fontId="7" fillId="5" borderId="17" xfId="0" applyNumberFormat="1" applyFont="1" applyFill="1" applyBorder="1" applyProtection="1">
      <protection hidden="1"/>
    </xf>
    <xf numFmtId="165" fontId="3" fillId="0" borderId="0" xfId="3" applyNumberFormat="1" applyFont="1" applyAlignment="1" applyProtection="1">
      <alignment horizontal="center"/>
      <protection hidden="1"/>
    </xf>
    <xf numFmtId="14" fontId="3" fillId="0" borderId="0" xfId="0" applyNumberFormat="1" applyFont="1" applyAlignment="1" applyProtection="1">
      <alignment horizontal="center"/>
      <protection hidden="1"/>
    </xf>
    <xf numFmtId="0" fontId="3" fillId="0" borderId="0" xfId="3" applyFont="1" applyAlignment="1" applyProtection="1">
      <alignment horizontal="left"/>
      <protection hidden="1"/>
    </xf>
    <xf numFmtId="0" fontId="3" fillId="6" borderId="42" xfId="0" applyFont="1" applyFill="1" applyBorder="1" applyAlignment="1" applyProtection="1">
      <alignment horizontal="left"/>
      <protection locked="0"/>
    </xf>
    <xf numFmtId="0" fontId="3" fillId="6" borderId="42" xfId="0" applyFont="1" applyFill="1" applyBorder="1" applyAlignment="1" applyProtection="1">
      <alignment horizontal="center"/>
      <protection locked="0"/>
    </xf>
    <xf numFmtId="0" fontId="3" fillId="0" borderId="0" xfId="0" applyFont="1" applyAlignment="1" applyProtection="1">
      <alignment horizontal="center"/>
      <protection locked="0" hidden="1"/>
    </xf>
    <xf numFmtId="49" fontId="19" fillId="4" borderId="43" xfId="0" applyNumberFormat="1" applyFont="1" applyFill="1" applyBorder="1" applyAlignment="1">
      <alignment vertical="center"/>
    </xf>
    <xf numFmtId="0" fontId="19" fillId="4" borderId="20" xfId="0" applyFont="1" applyFill="1" applyBorder="1" applyAlignment="1">
      <alignment vertical="center"/>
    </xf>
    <xf numFmtId="0" fontId="19" fillId="4" borderId="19" xfId="0" applyFont="1" applyFill="1" applyBorder="1" applyAlignment="1">
      <alignment vertical="center"/>
    </xf>
    <xf numFmtId="49" fontId="20" fillId="4" borderId="23" xfId="0" applyNumberFormat="1" applyFont="1" applyFill="1" applyBorder="1" applyAlignment="1">
      <alignment vertical="center"/>
    </xf>
    <xf numFmtId="0" fontId="20" fillId="4" borderId="44" xfId="0" applyFont="1" applyFill="1" applyBorder="1" applyAlignment="1">
      <alignment vertical="center"/>
    </xf>
    <xf numFmtId="0" fontId="20" fillId="4" borderId="45" xfId="0" applyFont="1" applyFill="1" applyBorder="1" applyAlignment="1">
      <alignment vertical="center"/>
    </xf>
    <xf numFmtId="14" fontId="20" fillId="4" borderId="45" xfId="0" applyNumberFormat="1" applyFont="1" applyFill="1" applyBorder="1" applyAlignment="1">
      <alignment vertical="center"/>
    </xf>
    <xf numFmtId="49" fontId="20" fillId="4" borderId="45" xfId="0" applyNumberFormat="1" applyFont="1" applyFill="1" applyBorder="1" applyAlignment="1">
      <alignment vertical="center"/>
    </xf>
    <xf numFmtId="0" fontId="2" fillId="4" borderId="7" xfId="0" applyFont="1" applyFill="1" applyBorder="1" applyAlignment="1" applyProtection="1">
      <alignment horizontal="center" vertical="center"/>
      <protection locked="0" hidden="1"/>
    </xf>
    <xf numFmtId="0" fontId="2" fillId="4" borderId="8" xfId="0" applyFont="1" applyFill="1" applyBorder="1" applyAlignment="1" applyProtection="1">
      <alignment horizontal="center" vertical="center"/>
      <protection hidden="1"/>
    </xf>
    <xf numFmtId="0" fontId="22" fillId="0" borderId="58" xfId="4"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hidden="1"/>
    </xf>
    <xf numFmtId="0" fontId="12" fillId="0" borderId="24" xfId="0" applyFont="1" applyBorder="1" applyAlignment="1" applyProtection="1">
      <alignment horizontal="center" vertical="center" shrinkToFit="1"/>
      <protection hidden="1"/>
    </xf>
    <xf numFmtId="164" fontId="17" fillId="0" borderId="34" xfId="0" applyNumberFormat="1" applyFont="1" applyBorder="1" applyAlignment="1" applyProtection="1">
      <alignment horizontal="center" vertical="center"/>
      <protection locked="0"/>
    </xf>
    <xf numFmtId="166" fontId="17" fillId="0" borderId="35" xfId="0" applyNumberFormat="1" applyFont="1" applyBorder="1" applyAlignment="1" applyProtection="1">
      <alignment horizontal="center" vertical="center"/>
      <protection locked="0" hidden="1"/>
    </xf>
    <xf numFmtId="0" fontId="12" fillId="0" borderId="45"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protection locked="0"/>
    </xf>
    <xf numFmtId="164" fontId="17" fillId="0" borderId="0" xfId="0" applyNumberFormat="1" applyFont="1" applyAlignment="1" applyProtection="1">
      <alignment horizontal="center" vertical="center"/>
      <protection locked="0"/>
    </xf>
    <xf numFmtId="49" fontId="17" fillId="0" borderId="0" xfId="0" applyNumberFormat="1" applyFont="1" applyAlignment="1" applyProtection="1">
      <alignment horizontal="center" vertical="center"/>
      <protection hidden="1"/>
    </xf>
    <xf numFmtId="0" fontId="12" fillId="0" borderId="0" xfId="0" applyFont="1" applyAlignment="1" applyProtection="1">
      <alignment horizontal="right" vertical="center"/>
      <protection hidden="1"/>
    </xf>
    <xf numFmtId="167" fontId="12" fillId="0" borderId="0" xfId="0" quotePrefix="1" applyNumberFormat="1" applyFont="1" applyAlignment="1" applyProtection="1">
      <alignment horizontal="center" vertical="center"/>
      <protection hidden="1"/>
    </xf>
    <xf numFmtId="0" fontId="7" fillId="0" borderId="0" xfId="0" applyFont="1" applyAlignment="1" applyProtection="1">
      <alignment vertical="center"/>
      <protection hidden="1"/>
    </xf>
    <xf numFmtId="0" fontId="19" fillId="4" borderId="43" xfId="0" applyFont="1" applyFill="1" applyBorder="1" applyProtection="1">
      <protection hidden="1"/>
    </xf>
    <xf numFmtId="0" fontId="19" fillId="4" borderId="43" xfId="0" applyFont="1" applyFill="1" applyBorder="1" applyAlignment="1" applyProtection="1">
      <alignment horizontal="center"/>
      <protection hidden="1"/>
    </xf>
    <xf numFmtId="0" fontId="17" fillId="4" borderId="16" xfId="0" applyFont="1" applyFill="1" applyBorder="1" applyAlignment="1" applyProtection="1">
      <alignment horizontal="center"/>
      <protection hidden="1"/>
    </xf>
    <xf numFmtId="0" fontId="17" fillId="4" borderId="17" xfId="0" applyFont="1" applyFill="1" applyBorder="1" applyAlignment="1" applyProtection="1">
      <alignment shrinkToFit="1"/>
      <protection hidden="1"/>
    </xf>
    <xf numFmtId="0" fontId="17" fillId="4" borderId="54" xfId="0" applyFont="1" applyFill="1" applyBorder="1" applyAlignment="1" applyProtection="1">
      <alignment horizontal="center"/>
      <protection hidden="1"/>
    </xf>
    <xf numFmtId="0" fontId="19" fillId="4" borderId="17" xfId="0" applyFont="1" applyFill="1" applyBorder="1" applyAlignment="1" applyProtection="1">
      <alignment horizontal="center"/>
      <protection hidden="1"/>
    </xf>
    <xf numFmtId="0" fontId="12" fillId="4" borderId="23" xfId="0" quotePrefix="1" applyFont="1" applyFill="1" applyBorder="1" applyAlignment="1" applyProtection="1">
      <alignment horizontal="center" shrinkToFit="1"/>
      <protection hidden="1"/>
    </xf>
    <xf numFmtId="167" fontId="12" fillId="4" borderId="23" xfId="0" quotePrefix="1" applyNumberFormat="1" applyFont="1" applyFill="1" applyBorder="1" applyAlignment="1" applyProtection="1">
      <alignment horizontal="center" vertical="center" shrinkToFit="1"/>
      <protection hidden="1"/>
    </xf>
    <xf numFmtId="0" fontId="17" fillId="4" borderId="57" xfId="0" applyFont="1" applyFill="1" applyBorder="1" applyAlignment="1" applyProtection="1">
      <alignment vertical="center"/>
      <protection hidden="1"/>
    </xf>
    <xf numFmtId="0" fontId="17" fillId="4" borderId="51" xfId="0" applyFont="1" applyFill="1" applyBorder="1" applyAlignment="1" applyProtection="1">
      <alignment vertical="center"/>
      <protection hidden="1"/>
    </xf>
    <xf numFmtId="0" fontId="1" fillId="2" borderId="0" xfId="0" applyFont="1" applyFill="1" applyAlignment="1" applyProtection="1">
      <alignment vertical="center"/>
      <protection hidden="1"/>
    </xf>
    <xf numFmtId="0" fontId="1" fillId="2" borderId="5" xfId="0" applyFont="1" applyFill="1" applyBorder="1" applyAlignment="1" applyProtection="1">
      <alignment vertic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12" fillId="2" borderId="0" xfId="4" applyFill="1" applyProtection="1">
      <protection hidden="1"/>
    </xf>
    <xf numFmtId="0" fontId="12" fillId="2" borderId="0" xfId="0" applyFont="1" applyFill="1" applyAlignment="1" applyProtection="1">
      <alignment vertical="center"/>
      <protection hidden="1"/>
    </xf>
    <xf numFmtId="1" fontId="2" fillId="0" borderId="0" xfId="0" applyNumberFormat="1" applyFont="1" applyAlignment="1" applyProtection="1">
      <alignment horizontal="center" vertical="center" shrinkToFit="1"/>
      <protection hidden="1"/>
    </xf>
    <xf numFmtId="1" fontId="12" fillId="0" borderId="0" xfId="0" applyNumberFormat="1" applyFont="1" applyAlignment="1" applyProtection="1">
      <alignment horizontal="left" vertical="center" shrinkToFit="1"/>
      <protection hidden="1"/>
    </xf>
    <xf numFmtId="0" fontId="12" fillId="0" borderId="35" xfId="0" applyFont="1" applyBorder="1" applyAlignment="1" applyProtection="1">
      <alignment horizontal="center" vertical="center"/>
      <protection hidden="1"/>
    </xf>
    <xf numFmtId="0" fontId="7" fillId="2" borderId="0" xfId="1" applyFont="1" applyFill="1" applyAlignment="1">
      <alignment horizontal="left" vertical="center"/>
    </xf>
    <xf numFmtId="0" fontId="7" fillId="2" borderId="5" xfId="1" applyFont="1" applyFill="1" applyBorder="1" applyAlignment="1">
      <alignment horizontal="left" vertical="center"/>
    </xf>
    <xf numFmtId="0" fontId="3" fillId="0" borderId="40" xfId="0" applyFont="1" applyBorder="1" applyAlignment="1" applyProtection="1">
      <alignment horizontal="center" vertical="center"/>
      <protection hidden="1"/>
    </xf>
    <xf numFmtId="0" fontId="3" fillId="0" borderId="62" xfId="0" applyFont="1" applyBorder="1" applyAlignment="1" applyProtection="1">
      <alignment horizontal="center" vertical="center"/>
      <protection hidden="1"/>
    </xf>
    <xf numFmtId="0" fontId="20" fillId="0" borderId="0" xfId="0" applyFont="1" applyAlignment="1" applyProtection="1">
      <alignment horizontal="left"/>
      <protection hidden="1"/>
    </xf>
    <xf numFmtId="0" fontId="3" fillId="0" borderId="41" xfId="0" applyFont="1" applyBorder="1" applyAlignment="1" applyProtection="1">
      <alignment horizontal="center" vertical="center"/>
      <protection hidden="1"/>
    </xf>
    <xf numFmtId="0" fontId="26" fillId="0" borderId="0" xfId="0" applyFont="1"/>
    <xf numFmtId="0" fontId="27" fillId="0" borderId="0" xfId="0" applyFont="1" applyAlignment="1" applyProtection="1">
      <alignment horizontal="center"/>
      <protection hidden="1"/>
    </xf>
    <xf numFmtId="0" fontId="27" fillId="0" borderId="0" xfId="0" applyFont="1" applyAlignment="1" applyProtection="1">
      <alignment horizontal="center" vertical="center"/>
      <protection hidden="1"/>
    </xf>
    <xf numFmtId="0" fontId="28" fillId="0" borderId="0" xfId="0" applyFont="1" applyAlignment="1" applyProtection="1">
      <alignment horizontal="center"/>
      <protection hidden="1"/>
    </xf>
    <xf numFmtId="0" fontId="29" fillId="0" borderId="0" xfId="0" applyFont="1" applyAlignment="1" applyProtection="1">
      <alignment horizontal="center" vertical="center"/>
      <protection hidden="1"/>
    </xf>
    <xf numFmtId="0" fontId="7" fillId="5" borderId="0" xfId="0" applyFont="1" applyFill="1" applyProtection="1">
      <protection hidden="1"/>
    </xf>
    <xf numFmtId="0" fontId="1" fillId="2" borderId="4" xfId="0" applyFont="1" applyFill="1" applyBorder="1" applyAlignment="1" applyProtection="1">
      <alignment vertical="center"/>
      <protection hidden="1"/>
    </xf>
    <xf numFmtId="0" fontId="1" fillId="2" borderId="17" xfId="0" applyFont="1" applyFill="1" applyBorder="1" applyAlignment="1" applyProtection="1">
      <alignment vertical="center"/>
      <protection hidden="1"/>
    </xf>
    <xf numFmtId="0" fontId="30" fillId="0" borderId="0" xfId="0" applyFont="1" applyAlignment="1" applyProtection="1">
      <alignment horizontal="center"/>
      <protection hidden="1"/>
    </xf>
    <xf numFmtId="0" fontId="31" fillId="0" borderId="0" xfId="0" applyFont="1"/>
    <xf numFmtId="0" fontId="27" fillId="0" borderId="0" xfId="0" applyFont="1" applyAlignment="1" applyProtection="1">
      <alignment horizontal="left" vertical="center"/>
      <protection hidden="1"/>
    </xf>
    <xf numFmtId="0" fontId="28" fillId="0" borderId="0" xfId="0" applyFont="1" applyAlignment="1" applyProtection="1">
      <alignment horizontal="left"/>
      <protection hidden="1"/>
    </xf>
    <xf numFmtId="0" fontId="17" fillId="4" borderId="10" xfId="0" applyFont="1" applyFill="1" applyBorder="1" applyAlignment="1" applyProtection="1">
      <alignment horizontal="center" vertical="center"/>
      <protection hidden="1"/>
    </xf>
    <xf numFmtId="0" fontId="17" fillId="4" borderId="16" xfId="0" applyFont="1" applyFill="1" applyBorder="1" applyAlignment="1" applyProtection="1">
      <alignment horizontal="center" vertical="center"/>
      <protection hidden="1"/>
    </xf>
    <xf numFmtId="0" fontId="17" fillId="4" borderId="43" xfId="0" applyFont="1" applyFill="1" applyBorder="1" applyAlignment="1" applyProtection="1">
      <alignment horizontal="center"/>
      <protection hidden="1"/>
    </xf>
    <xf numFmtId="0" fontId="28" fillId="0" borderId="0" xfId="0" applyFont="1" applyAlignment="1">
      <alignment horizontal="center"/>
    </xf>
    <xf numFmtId="0" fontId="32" fillId="0" borderId="0" xfId="0" applyFont="1" applyAlignment="1" applyProtection="1">
      <alignment horizontal="center" vertical="center"/>
      <protection hidden="1"/>
    </xf>
    <xf numFmtId="0" fontId="7" fillId="5" borderId="7" xfId="0" applyFont="1" applyFill="1" applyBorder="1" applyAlignment="1" applyProtection="1">
      <alignment horizontal="center"/>
      <protection hidden="1"/>
    </xf>
    <xf numFmtId="0" fontId="15" fillId="0" borderId="4" xfId="0" applyFont="1" applyBorder="1" applyAlignment="1" applyProtection="1">
      <alignment horizontal="center"/>
      <protection hidden="1"/>
    </xf>
    <xf numFmtId="0" fontId="16" fillId="0" borderId="37" xfId="0" applyFont="1" applyBorder="1" applyAlignment="1" applyProtection="1">
      <alignment horizontal="center"/>
      <protection hidden="1"/>
    </xf>
    <xf numFmtId="0" fontId="7" fillId="5" borderId="14" xfId="0" applyFont="1" applyFill="1" applyBorder="1" applyAlignment="1" applyProtection="1">
      <alignment horizontal="center"/>
      <protection hidden="1"/>
    </xf>
    <xf numFmtId="0" fontId="35" fillId="0" borderId="60" xfId="0" applyFont="1" applyBorder="1" applyAlignment="1" applyProtection="1">
      <alignment horizontal="center" vertical="center"/>
      <protection hidden="1"/>
    </xf>
    <xf numFmtId="0" fontId="28" fillId="0" borderId="3" xfId="0" applyFont="1" applyBorder="1" applyAlignment="1" applyProtection="1">
      <alignment horizontal="left"/>
      <protection hidden="1"/>
    </xf>
    <xf numFmtId="0" fontId="28" fillId="0" borderId="5" xfId="0" applyFont="1" applyBorder="1" applyAlignment="1" applyProtection="1">
      <alignment horizontal="left"/>
      <protection hidden="1"/>
    </xf>
    <xf numFmtId="0" fontId="3" fillId="0" borderId="5" xfId="0" applyFont="1" applyBorder="1" applyAlignment="1" applyProtection="1">
      <alignment horizontal="left"/>
      <protection hidden="1"/>
    </xf>
    <xf numFmtId="0" fontId="3" fillId="6" borderId="0" xfId="0" applyFont="1" applyFill="1" applyProtection="1">
      <protection locked="0"/>
    </xf>
    <xf numFmtId="0" fontId="3" fillId="6" borderId="17" xfId="0" applyFont="1" applyFill="1" applyBorder="1" applyProtection="1">
      <protection locked="0"/>
    </xf>
    <xf numFmtId="0" fontId="17" fillId="4" borderId="54" xfId="0" applyFont="1" applyFill="1" applyBorder="1" applyAlignment="1" applyProtection="1">
      <alignment horizontal="center" vertical="center"/>
      <protection hidden="1"/>
    </xf>
    <xf numFmtId="1" fontId="12" fillId="0" borderId="25" xfId="0" applyNumberFormat="1" applyFont="1" applyBorder="1" applyAlignment="1" applyProtection="1">
      <alignment horizontal="left" vertical="center" shrinkToFit="1"/>
      <protection hidden="1"/>
    </xf>
    <xf numFmtId="14" fontId="12" fillId="0" borderId="25" xfId="0" applyNumberFormat="1" applyFont="1" applyBorder="1" applyAlignment="1" applyProtection="1">
      <alignment horizontal="left" vertical="center" shrinkToFit="1"/>
      <protection hidden="1"/>
    </xf>
    <xf numFmtId="0" fontId="17" fillId="4" borderId="51" xfId="0" applyFont="1" applyFill="1" applyBorder="1" applyAlignment="1" applyProtection="1">
      <alignment horizontal="center" vertical="center"/>
      <protection hidden="1"/>
    </xf>
    <xf numFmtId="0" fontId="17" fillId="4" borderId="57" xfId="0" applyFont="1" applyFill="1" applyBorder="1" applyAlignment="1" applyProtection="1">
      <alignment horizontal="center" vertical="center"/>
      <protection hidden="1"/>
    </xf>
    <xf numFmtId="0" fontId="17" fillId="4" borderId="43" xfId="0" applyFont="1" applyFill="1" applyBorder="1" applyAlignment="1" applyProtection="1">
      <alignment horizontal="center" vertical="center"/>
      <protection hidden="1"/>
    </xf>
    <xf numFmtId="0" fontId="19" fillId="4" borderId="43" xfId="0" applyFont="1" applyFill="1" applyBorder="1" applyAlignment="1" applyProtection="1">
      <alignment horizontal="center" vertical="center"/>
      <protection hidden="1"/>
    </xf>
    <xf numFmtId="0" fontId="19" fillId="4" borderId="17" xfId="0" applyFont="1" applyFill="1" applyBorder="1" applyAlignment="1" applyProtection="1">
      <alignment horizontal="center" vertical="center"/>
      <protection hidden="1"/>
    </xf>
    <xf numFmtId="0" fontId="17" fillId="4" borderId="17" xfId="0" applyFont="1" applyFill="1" applyBorder="1" applyAlignment="1" applyProtection="1">
      <alignment horizontal="center" vertical="center" shrinkToFit="1"/>
      <protection hidden="1"/>
    </xf>
    <xf numFmtId="1" fontId="3" fillId="0" borderId="24" xfId="1" applyNumberFormat="1" applyBorder="1" applyAlignment="1" applyProtection="1">
      <alignment horizontal="left" vertical="center" shrinkToFit="1"/>
      <protection locked="0"/>
    </xf>
    <xf numFmtId="1" fontId="3" fillId="0" borderId="30" xfId="1" applyNumberFormat="1" applyBorder="1" applyAlignment="1" applyProtection="1">
      <alignment horizontal="left" vertical="center" shrinkToFit="1"/>
      <protection locked="0"/>
    </xf>
    <xf numFmtId="1" fontId="3" fillId="0" borderId="25" xfId="1" applyNumberFormat="1" applyBorder="1" applyAlignment="1" applyProtection="1">
      <alignment horizontal="left" vertical="center" shrinkToFit="1"/>
      <protection locked="0"/>
    </xf>
    <xf numFmtId="0" fontId="3" fillId="0" borderId="24" xfId="2" applyBorder="1" applyAlignment="1" applyProtection="1">
      <alignment horizontal="left" vertical="center" shrinkToFit="1"/>
      <protection locked="0"/>
    </xf>
    <xf numFmtId="0" fontId="3" fillId="0" borderId="25" xfId="2" applyBorder="1" applyAlignment="1" applyProtection="1">
      <alignment horizontal="left" vertical="center" shrinkToFit="1"/>
      <protection locked="0"/>
    </xf>
    <xf numFmtId="0" fontId="7" fillId="2" borderId="0" xfId="1" applyFont="1" applyFill="1" applyAlignment="1">
      <alignment horizontal="left" vertical="center"/>
    </xf>
    <xf numFmtId="0" fontId="7" fillId="2" borderId="5" xfId="1" applyFont="1" applyFill="1" applyBorder="1" applyAlignment="1">
      <alignment horizontal="left" vertical="center"/>
    </xf>
    <xf numFmtId="14" fontId="34" fillId="0" borderId="24" xfId="5" applyNumberFormat="1" applyBorder="1" applyAlignment="1" applyProtection="1">
      <alignment horizontal="left" vertical="center" shrinkToFit="1"/>
      <protection locked="0"/>
    </xf>
    <xf numFmtId="14" fontId="3" fillId="0" borderId="30" xfId="1" applyNumberFormat="1" applyBorder="1" applyAlignment="1" applyProtection="1">
      <alignment horizontal="left" vertical="center" shrinkToFit="1"/>
      <protection locked="0"/>
    </xf>
    <xf numFmtId="14" fontId="3" fillId="0" borderId="25" xfId="1" applyNumberFormat="1" applyBorder="1" applyAlignment="1" applyProtection="1">
      <alignment horizontal="left" vertical="center" shrinkToFit="1"/>
      <protection locked="0"/>
    </xf>
    <xf numFmtId="0" fontId="34" fillId="0" borderId="24" xfId="5" applyBorder="1" applyAlignment="1" applyProtection="1">
      <alignment horizontal="left" vertical="center" shrinkToFit="1"/>
      <protection locked="0"/>
    </xf>
    <xf numFmtId="14" fontId="3" fillId="0" borderId="24" xfId="1" applyNumberFormat="1" applyBorder="1" applyAlignment="1" applyProtection="1">
      <alignment horizontal="left" vertical="center" shrinkToFit="1"/>
      <protection locked="0"/>
    </xf>
    <xf numFmtId="14" fontId="3" fillId="0" borderId="24" xfId="2" applyNumberFormat="1" applyBorder="1" applyAlignment="1" applyProtection="1">
      <alignment horizontal="left" vertical="center" shrinkToFit="1"/>
      <protection locked="0"/>
    </xf>
    <xf numFmtId="14" fontId="3" fillId="0" borderId="25" xfId="2" applyNumberFormat="1" applyBorder="1" applyAlignment="1" applyProtection="1">
      <alignment horizontal="left" vertical="center" shrinkToFit="1"/>
      <protection locked="0"/>
    </xf>
    <xf numFmtId="1" fontId="3" fillId="0" borderId="31" xfId="1" applyNumberFormat="1" applyBorder="1" applyAlignment="1" applyProtection="1">
      <alignment horizontal="center" vertical="center" shrinkToFit="1"/>
      <protection locked="0"/>
    </xf>
    <xf numFmtId="1" fontId="3" fillId="0" borderId="32" xfId="1" applyNumberFormat="1" applyBorder="1" applyAlignment="1" applyProtection="1">
      <alignment horizontal="center" vertical="center" shrinkToFit="1"/>
      <protection locked="0"/>
    </xf>
    <xf numFmtId="1" fontId="3" fillId="0" borderId="33" xfId="1" applyNumberFormat="1" applyBorder="1" applyAlignment="1" applyProtection="1">
      <alignment horizontal="center" vertical="center" shrinkToFit="1"/>
      <protection locked="0"/>
    </xf>
    <xf numFmtId="1" fontId="3" fillId="0" borderId="34" xfId="1" applyNumberFormat="1" applyBorder="1" applyAlignment="1" applyProtection="1">
      <alignment horizontal="center" vertical="center" shrinkToFit="1"/>
      <protection locked="0"/>
    </xf>
    <xf numFmtId="1" fontId="3" fillId="0" borderId="35" xfId="1" applyNumberFormat="1" applyBorder="1" applyAlignment="1" applyProtection="1">
      <alignment horizontal="center" vertical="center" shrinkToFit="1"/>
      <protection locked="0"/>
    </xf>
    <xf numFmtId="1" fontId="3" fillId="0" borderId="36" xfId="1" applyNumberFormat="1" applyBorder="1" applyAlignment="1" applyProtection="1">
      <alignment horizontal="center" vertical="center" shrinkToFit="1"/>
      <protection locked="0"/>
    </xf>
    <xf numFmtId="0" fontId="3" fillId="2" borderId="31" xfId="1" applyFill="1" applyBorder="1" applyAlignment="1" applyProtection="1">
      <alignment horizontal="center" vertical="center" shrinkToFit="1"/>
      <protection locked="0"/>
    </xf>
    <xf numFmtId="0" fontId="3" fillId="2" borderId="32" xfId="1" applyFill="1" applyBorder="1" applyAlignment="1" applyProtection="1">
      <alignment horizontal="center" vertical="center" shrinkToFit="1"/>
      <protection locked="0"/>
    </xf>
    <xf numFmtId="0" fontId="3" fillId="2" borderId="33" xfId="1" applyFill="1" applyBorder="1" applyAlignment="1" applyProtection="1">
      <alignment horizontal="center" vertical="center" shrinkToFit="1"/>
      <protection locked="0"/>
    </xf>
    <xf numFmtId="0" fontId="3" fillId="2" borderId="34" xfId="1" applyFill="1" applyBorder="1" applyAlignment="1" applyProtection="1">
      <alignment horizontal="center" vertical="center" shrinkToFit="1"/>
      <protection locked="0"/>
    </xf>
    <xf numFmtId="0" fontId="3" fillId="2" borderId="35" xfId="1" applyFill="1" applyBorder="1" applyAlignment="1" applyProtection="1">
      <alignment horizontal="center" vertical="center" shrinkToFit="1"/>
      <protection locked="0"/>
    </xf>
    <xf numFmtId="0" fontId="3" fillId="2" borderId="36" xfId="1" applyFill="1" applyBorder="1" applyAlignment="1" applyProtection="1">
      <alignment horizontal="center" vertical="center" shrinkToFit="1"/>
      <protection locked="0"/>
    </xf>
    <xf numFmtId="0" fontId="7" fillId="4" borderId="39" xfId="1" applyFont="1" applyFill="1" applyBorder="1" applyAlignment="1">
      <alignment horizontal="left" vertical="center"/>
    </xf>
    <xf numFmtId="0" fontId="7" fillId="4" borderId="29" xfId="1" applyFont="1" applyFill="1" applyBorder="1" applyAlignment="1">
      <alignment horizontal="left" vertical="center"/>
    </xf>
    <xf numFmtId="0" fontId="7" fillId="4" borderId="21" xfId="1" applyFont="1" applyFill="1" applyBorder="1" applyAlignment="1">
      <alignment horizontal="left" vertical="center"/>
    </xf>
    <xf numFmtId="0" fontId="3" fillId="0" borderId="31" xfId="1" applyBorder="1" applyAlignment="1" applyProtection="1">
      <alignment horizontal="left" vertical="top" wrapText="1"/>
      <protection locked="0"/>
    </xf>
    <xf numFmtId="0" fontId="3" fillId="0" borderId="32" xfId="1" applyBorder="1" applyAlignment="1" applyProtection="1">
      <alignment horizontal="left" vertical="top" wrapText="1"/>
      <protection locked="0"/>
    </xf>
    <xf numFmtId="0" fontId="3" fillId="0" borderId="33" xfId="1" applyBorder="1" applyAlignment="1" applyProtection="1">
      <alignment horizontal="left" vertical="top" wrapText="1"/>
      <protection locked="0"/>
    </xf>
    <xf numFmtId="0" fontId="3" fillId="0" borderId="4" xfId="1" applyBorder="1" applyAlignment="1" applyProtection="1">
      <alignment horizontal="left" vertical="top" wrapText="1"/>
      <protection locked="0"/>
    </xf>
    <xf numFmtId="0" fontId="3" fillId="0" borderId="0" xfId="1" applyAlignment="1" applyProtection="1">
      <alignment horizontal="left" vertical="top" wrapText="1"/>
      <protection locked="0"/>
    </xf>
    <xf numFmtId="0" fontId="3" fillId="0" borderId="5" xfId="1" applyBorder="1" applyAlignment="1" applyProtection="1">
      <alignment horizontal="left" vertical="top" wrapText="1"/>
      <protection locked="0"/>
    </xf>
    <xf numFmtId="0" fontId="3" fillId="0" borderId="37" xfId="1" applyBorder="1" applyAlignment="1" applyProtection="1">
      <alignment horizontal="left" vertical="top" wrapText="1"/>
      <protection locked="0"/>
    </xf>
    <xf numFmtId="0" fontId="3" fillId="0" borderId="17" xfId="1" applyBorder="1" applyAlignment="1" applyProtection="1">
      <alignment horizontal="left" vertical="top" wrapText="1"/>
      <protection locked="0"/>
    </xf>
    <xf numFmtId="0" fontId="3" fillId="0" borderId="18" xfId="1" applyBorder="1" applyAlignment="1" applyProtection="1">
      <alignment horizontal="left" vertical="top" wrapText="1"/>
      <protection locked="0"/>
    </xf>
    <xf numFmtId="0" fontId="7" fillId="4" borderId="31" xfId="1" applyFont="1" applyFill="1" applyBorder="1" applyAlignment="1">
      <alignment horizontal="left" vertical="center"/>
    </xf>
    <xf numFmtId="0" fontId="7" fillId="4" borderId="32" xfId="1" applyFont="1" applyFill="1" applyBorder="1" applyAlignment="1">
      <alignment horizontal="left" vertical="center"/>
    </xf>
    <xf numFmtId="0" fontId="7" fillId="4" borderId="33" xfId="1" applyFont="1" applyFill="1" applyBorder="1" applyAlignment="1">
      <alignment horizontal="left" vertical="center"/>
    </xf>
    <xf numFmtId="0" fontId="7" fillId="4" borderId="37" xfId="1" applyFont="1" applyFill="1" applyBorder="1" applyAlignment="1">
      <alignment horizontal="left" vertical="center"/>
    </xf>
    <xf numFmtId="0" fontId="7" fillId="4" borderId="17" xfId="1" applyFont="1" applyFill="1" applyBorder="1" applyAlignment="1">
      <alignment horizontal="left" vertical="center"/>
    </xf>
    <xf numFmtId="0" fontId="7" fillId="4" borderId="18" xfId="1" applyFont="1" applyFill="1" applyBorder="1" applyAlignment="1">
      <alignment horizontal="left" vertical="center"/>
    </xf>
    <xf numFmtId="1" fontId="3" fillId="0" borderId="20" xfId="1" applyNumberFormat="1" applyBorder="1" applyAlignment="1" applyProtection="1">
      <alignment horizontal="left" vertical="center" shrinkToFit="1"/>
      <protection locked="0"/>
    </xf>
    <xf numFmtId="1" fontId="3" fillId="0" borderId="29" xfId="1" applyNumberFormat="1" applyBorder="1" applyAlignment="1" applyProtection="1">
      <alignment horizontal="left" vertical="center" shrinkToFit="1"/>
      <protection locked="0"/>
    </xf>
    <xf numFmtId="1" fontId="3" fillId="0" borderId="21" xfId="1" applyNumberFormat="1" applyBorder="1" applyAlignment="1" applyProtection="1">
      <alignment horizontal="left" vertical="center" shrinkToFit="1"/>
      <protection locked="0"/>
    </xf>
    <xf numFmtId="0" fontId="3" fillId="0" borderId="20" xfId="2" applyBorder="1" applyAlignment="1" applyProtection="1">
      <alignment horizontal="left" vertical="center" shrinkToFit="1"/>
      <protection locked="0"/>
    </xf>
    <xf numFmtId="0" fontId="3" fillId="0" borderId="21" xfId="2" applyBorder="1" applyAlignment="1" applyProtection="1">
      <alignment horizontal="left" vertical="center" shrinkToFit="1"/>
      <protection locked="0"/>
    </xf>
    <xf numFmtId="0" fontId="7" fillId="4" borderId="6" xfId="1" applyFont="1" applyFill="1" applyBorder="1" applyAlignment="1">
      <alignment horizontal="left" vertical="center"/>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7" fillId="4" borderId="22" xfId="0" applyFont="1" applyFill="1" applyBorder="1" applyAlignment="1" applyProtection="1">
      <alignment horizontal="left" vertical="center"/>
      <protection hidden="1"/>
    </xf>
    <xf numFmtId="0" fontId="7" fillId="4" borderId="23" xfId="0" applyFont="1" applyFill="1" applyBorder="1" applyAlignment="1" applyProtection="1">
      <alignment horizontal="left" vertical="center"/>
      <protection hidden="1"/>
    </xf>
    <xf numFmtId="1" fontId="3" fillId="0" borderId="23" xfId="1" applyNumberFormat="1" applyBorder="1" applyAlignment="1" applyProtection="1">
      <alignment horizontal="left" vertical="center" shrinkToFit="1"/>
      <protection locked="0"/>
    </xf>
    <xf numFmtId="1" fontId="3" fillId="0" borderId="60" xfId="1" applyNumberFormat="1" applyBorder="1" applyAlignment="1" applyProtection="1">
      <alignment horizontal="left" vertical="center" shrinkToFit="1"/>
      <protection locked="0"/>
    </xf>
    <xf numFmtId="0" fontId="3" fillId="0" borderId="24" xfId="1" applyBorder="1" applyAlignment="1" applyProtection="1">
      <alignment horizontal="left" vertical="center" shrinkToFit="1"/>
      <protection locked="0"/>
    </xf>
    <xf numFmtId="0" fontId="3" fillId="0" borderId="25" xfId="1" applyBorder="1" applyAlignment="1" applyProtection="1">
      <alignment horizontal="left" vertical="center" shrinkToFit="1"/>
      <protection locked="0"/>
    </xf>
    <xf numFmtId="0" fontId="3" fillId="0" borderId="23" xfId="1" applyBorder="1" applyAlignment="1" applyProtection="1">
      <alignment horizontal="left" vertical="center" shrinkToFit="1"/>
      <protection locked="0"/>
    </xf>
    <xf numFmtId="0" fontId="3" fillId="0" borderId="60" xfId="1" applyBorder="1" applyAlignment="1" applyProtection="1">
      <alignment horizontal="left" vertical="center" shrinkToFit="1"/>
      <protection locked="0"/>
    </xf>
    <xf numFmtId="0" fontId="7" fillId="4" borderId="26" xfId="0" applyFont="1" applyFill="1" applyBorder="1" applyAlignment="1" applyProtection="1">
      <alignment horizontal="left" vertical="center"/>
      <protection hidden="1"/>
    </xf>
    <xf numFmtId="0" fontId="7" fillId="4" borderId="61" xfId="0" applyFont="1" applyFill="1" applyBorder="1" applyAlignment="1" applyProtection="1">
      <alignment horizontal="left" vertical="center"/>
      <protection hidden="1"/>
    </xf>
    <xf numFmtId="0" fontId="3" fillId="0" borderId="61" xfId="1" applyBorder="1" applyAlignment="1" applyProtection="1">
      <alignment horizontal="left" vertical="center" shrinkToFit="1"/>
      <protection locked="0"/>
    </xf>
    <xf numFmtId="0" fontId="3" fillId="0" borderId="63" xfId="1" applyBorder="1" applyAlignment="1" applyProtection="1">
      <alignment horizontal="left" vertical="center" shrinkToFit="1"/>
      <protection locked="0"/>
    </xf>
    <xf numFmtId="0" fontId="3" fillId="0" borderId="27" xfId="1" applyBorder="1" applyAlignment="1" applyProtection="1">
      <alignment horizontal="left" vertical="center" shrinkToFit="1"/>
      <protection locked="0"/>
    </xf>
    <xf numFmtId="0" fontId="3" fillId="0" borderId="28" xfId="1" applyBorder="1" applyAlignment="1" applyProtection="1">
      <alignment horizontal="left" vertical="center" shrinkToFit="1"/>
      <protection locked="0"/>
    </xf>
    <xf numFmtId="14" fontId="3" fillId="0" borderId="23" xfId="1" applyNumberFormat="1" applyBorder="1" applyAlignment="1" applyProtection="1">
      <alignment horizontal="left" vertical="center" shrinkToFit="1"/>
      <protection locked="0"/>
    </xf>
    <xf numFmtId="14" fontId="3" fillId="0" borderId="60" xfId="1" applyNumberFormat="1" applyBorder="1" applyAlignment="1" applyProtection="1">
      <alignment horizontal="left" vertical="center" shrinkToFit="1"/>
      <protection locked="0"/>
    </xf>
    <xf numFmtId="49" fontId="3" fillId="0" borderId="23" xfId="1" applyNumberFormat="1" applyBorder="1" applyAlignment="1" applyProtection="1">
      <alignment horizontal="left" vertical="center" shrinkToFit="1"/>
      <protection locked="0"/>
    </xf>
    <xf numFmtId="49" fontId="3" fillId="0" borderId="60" xfId="1" applyNumberFormat="1" applyBorder="1" applyAlignment="1" applyProtection="1">
      <alignment horizontal="left" vertical="center" shrinkToFit="1"/>
      <protection locked="0"/>
    </xf>
    <xf numFmtId="0" fontId="7" fillId="4" borderId="24" xfId="1" applyFont="1" applyFill="1" applyBorder="1" applyAlignment="1">
      <alignment horizontal="left" vertical="center"/>
    </xf>
    <xf numFmtId="0" fontId="7" fillId="4" borderId="25" xfId="1" applyFont="1" applyFill="1" applyBorder="1" applyAlignment="1">
      <alignment horizontal="left" vertical="center"/>
    </xf>
    <xf numFmtId="0" fontId="3" fillId="7" borderId="10" xfId="1" applyFill="1" applyBorder="1" applyAlignment="1" applyProtection="1">
      <alignment horizontal="left" vertical="center" shrinkToFit="1"/>
      <protection locked="0"/>
    </xf>
    <xf numFmtId="0" fontId="3" fillId="7" borderId="2" xfId="1" applyFill="1" applyBorder="1" applyAlignment="1" applyProtection="1">
      <alignment horizontal="left" vertical="center" shrinkToFit="1"/>
      <protection locked="0"/>
    </xf>
    <xf numFmtId="0" fontId="3" fillId="7" borderId="3" xfId="1" applyFill="1" applyBorder="1" applyAlignment="1" applyProtection="1">
      <alignment horizontal="left" vertical="center" shrinkToFit="1"/>
      <protection locked="0"/>
    </xf>
    <xf numFmtId="0" fontId="3" fillId="7" borderId="10" xfId="1" applyFill="1" applyBorder="1" applyAlignment="1" applyProtection="1">
      <alignment horizontal="left" vertical="center"/>
      <protection locked="0"/>
    </xf>
    <xf numFmtId="0" fontId="3" fillId="7" borderId="3" xfId="1" applyFill="1" applyBorder="1" applyAlignment="1" applyProtection="1">
      <alignment horizontal="left" vertical="center"/>
      <protection locked="0"/>
    </xf>
    <xf numFmtId="0" fontId="3" fillId="7" borderId="16" xfId="1" applyFill="1" applyBorder="1" applyAlignment="1" applyProtection="1">
      <alignment horizontal="left" vertical="center" shrinkToFit="1"/>
      <protection locked="0"/>
    </xf>
    <xf numFmtId="0" fontId="3" fillId="7" borderId="17" xfId="1" applyFill="1" applyBorder="1" applyAlignment="1" applyProtection="1">
      <alignment horizontal="left" vertical="center" shrinkToFit="1"/>
      <protection locked="0"/>
    </xf>
    <xf numFmtId="0" fontId="3" fillId="7" borderId="18" xfId="1" applyFill="1" applyBorder="1" applyAlignment="1" applyProtection="1">
      <alignment horizontal="left" vertical="center" shrinkToFit="1"/>
      <protection locked="0"/>
    </xf>
    <xf numFmtId="0" fontId="3" fillId="7" borderId="16" xfId="1" applyFill="1" applyBorder="1" applyAlignment="1" applyProtection="1">
      <alignment horizontal="left"/>
      <protection locked="0"/>
    </xf>
    <xf numFmtId="0" fontId="3" fillId="7" borderId="18" xfId="1" applyFill="1" applyBorder="1" applyAlignment="1" applyProtection="1">
      <alignment horizontal="left"/>
      <protection locked="0"/>
    </xf>
    <xf numFmtId="0" fontId="7" fillId="4" borderId="9" xfId="0" applyFont="1" applyFill="1" applyBorder="1" applyAlignment="1" applyProtection="1">
      <alignment horizontal="left" vertical="center"/>
      <protection hidden="1"/>
    </xf>
    <xf numFmtId="0" fontId="7" fillId="4" borderId="19" xfId="0" applyFont="1" applyFill="1" applyBorder="1" applyAlignment="1" applyProtection="1">
      <alignment horizontal="left" vertical="center"/>
      <protection hidden="1"/>
    </xf>
    <xf numFmtId="0" fontId="3" fillId="0" borderId="19" xfId="1" applyBorder="1" applyAlignment="1" applyProtection="1">
      <alignment horizontal="left" vertical="center" shrinkToFit="1"/>
      <protection locked="0"/>
    </xf>
    <xf numFmtId="0" fontId="3" fillId="0" borderId="59" xfId="1" applyBorder="1" applyAlignment="1" applyProtection="1">
      <alignment horizontal="left" vertical="center" shrinkToFit="1"/>
      <protection locked="0"/>
    </xf>
    <xf numFmtId="0" fontId="3" fillId="7" borderId="12" xfId="1" applyFill="1" applyBorder="1" applyAlignment="1" applyProtection="1">
      <alignment horizontal="left" vertical="center" shrinkToFit="1"/>
      <protection locked="0"/>
    </xf>
    <xf numFmtId="0" fontId="3" fillId="7" borderId="0" xfId="1" applyFill="1" applyAlignment="1" applyProtection="1">
      <alignment horizontal="left" vertical="center" shrinkToFit="1"/>
      <protection locked="0"/>
    </xf>
    <xf numFmtId="0" fontId="3" fillId="7" borderId="5" xfId="1" applyFill="1" applyBorder="1" applyAlignment="1" applyProtection="1">
      <alignment horizontal="left" vertical="center" shrinkToFit="1"/>
      <protection locked="0"/>
    </xf>
    <xf numFmtId="0" fontId="3" fillId="7" borderId="12" xfId="1" applyFill="1" applyBorder="1" applyAlignment="1" applyProtection="1">
      <alignment horizontal="left"/>
      <protection locked="0"/>
    </xf>
    <xf numFmtId="0" fontId="3" fillId="7" borderId="5" xfId="1" applyFill="1" applyBorder="1" applyAlignment="1" applyProtection="1">
      <alignment horizontal="left"/>
      <protection locked="0"/>
    </xf>
    <xf numFmtId="0" fontId="2" fillId="2" borderId="1" xfId="0" applyFont="1" applyFill="1" applyBorder="1" applyAlignment="1" applyProtection="1">
      <alignment horizontal="left" vertical="center"/>
      <protection hidden="1"/>
    </xf>
    <xf numFmtId="0" fontId="2" fillId="2" borderId="2" xfId="0" applyFont="1" applyFill="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13" fillId="0" borderId="3" xfId="0" applyFont="1" applyBorder="1" applyAlignment="1" applyProtection="1">
      <alignment horizontal="center" vertical="center" wrapText="1"/>
      <protection locked="0" hidden="1"/>
    </xf>
    <xf numFmtId="0" fontId="13" fillId="0" borderId="5" xfId="0" applyFont="1" applyBorder="1" applyAlignment="1" applyProtection="1">
      <alignment horizontal="center" vertical="center" wrapText="1"/>
      <protection locked="0" hidden="1"/>
    </xf>
    <xf numFmtId="0" fontId="4" fillId="2" borderId="4" xfId="0" applyFont="1" applyFill="1" applyBorder="1" applyAlignment="1" applyProtection="1">
      <alignment horizontal="left" shrinkToFit="1"/>
      <protection hidden="1"/>
    </xf>
    <xf numFmtId="0" fontId="4" fillId="2" borderId="0" xfId="0" applyFont="1" applyFill="1" applyAlignment="1" applyProtection="1">
      <alignment horizontal="left" shrinkToFit="1"/>
      <protection hidden="1"/>
    </xf>
    <xf numFmtId="0" fontId="2" fillId="4" borderId="6" xfId="0" applyFont="1" applyFill="1" applyBorder="1" applyAlignment="1" applyProtection="1">
      <alignment horizontal="left" vertical="center"/>
      <protection hidden="1"/>
    </xf>
    <xf numFmtId="0" fontId="2" fillId="4" borderId="7" xfId="0" applyFont="1" applyFill="1" applyBorder="1" applyAlignment="1" applyProtection="1">
      <alignment horizontal="left" vertical="center"/>
      <protection hidden="1"/>
    </xf>
    <xf numFmtId="0" fontId="2" fillId="2" borderId="6" xfId="0" applyFont="1" applyFill="1" applyBorder="1" applyAlignment="1" applyProtection="1">
      <alignment horizontal="center" vertical="center" shrinkToFit="1"/>
      <protection locked="0" hidden="1"/>
    </xf>
    <xf numFmtId="0" fontId="2" fillId="2" borderId="7" xfId="0" applyFont="1" applyFill="1" applyBorder="1" applyAlignment="1" applyProtection="1">
      <alignment horizontal="center" vertical="center" shrinkToFit="1"/>
      <protection locked="0" hidden="1"/>
    </xf>
    <xf numFmtId="0" fontId="6" fillId="4" borderId="6" xfId="0" applyFont="1" applyFill="1" applyBorder="1" applyAlignment="1" applyProtection="1">
      <alignment horizontal="center" vertical="center" shrinkToFit="1"/>
      <protection hidden="1"/>
    </xf>
    <xf numFmtId="0" fontId="6" fillId="4" borderId="7" xfId="0" applyFont="1" applyFill="1" applyBorder="1" applyAlignment="1" applyProtection="1">
      <alignment horizontal="center" vertical="center" shrinkToFit="1"/>
      <protection hidden="1"/>
    </xf>
    <xf numFmtId="0" fontId="6" fillId="4" borderId="8" xfId="0" applyFont="1" applyFill="1" applyBorder="1" applyAlignment="1" applyProtection="1">
      <alignment horizontal="center" vertical="center" shrinkToFit="1"/>
      <protection hidden="1"/>
    </xf>
    <xf numFmtId="0" fontId="6" fillId="2" borderId="6" xfId="0" applyFont="1" applyFill="1" applyBorder="1" applyAlignment="1" applyProtection="1">
      <alignment horizontal="center" vertical="center" shrinkToFit="1"/>
      <protection hidden="1"/>
    </xf>
    <xf numFmtId="0" fontId="6" fillId="2" borderId="8" xfId="0" applyFont="1" applyFill="1" applyBorder="1" applyAlignment="1" applyProtection="1">
      <alignment horizontal="center" vertical="center" shrinkToFit="1"/>
      <protection hidden="1"/>
    </xf>
    <xf numFmtId="0" fontId="1" fillId="2"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2" borderId="4"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2" fillId="4" borderId="6" xfId="0" applyFont="1" applyFill="1" applyBorder="1" applyAlignment="1" applyProtection="1">
      <alignment horizontal="right" vertical="center"/>
      <protection hidden="1"/>
    </xf>
    <xf numFmtId="0" fontId="2" fillId="4" borderId="7" xfId="0" applyFont="1" applyFill="1" applyBorder="1" applyAlignment="1" applyProtection="1">
      <alignment horizontal="right" vertical="center"/>
      <protection hidden="1"/>
    </xf>
    <xf numFmtId="0" fontId="2" fillId="4" borderId="8" xfId="0" applyFont="1" applyFill="1" applyBorder="1" applyAlignment="1" applyProtection="1">
      <alignment horizontal="right" vertical="center"/>
      <protection hidden="1"/>
    </xf>
    <xf numFmtId="0" fontId="2" fillId="0" borderId="6" xfId="0" applyFont="1" applyBorder="1" applyAlignment="1" applyProtection="1">
      <alignment horizontal="left" vertical="center" shrinkToFit="1"/>
      <protection hidden="1"/>
    </xf>
    <xf numFmtId="0" fontId="2" fillId="0" borderId="7" xfId="0" applyFont="1" applyBorder="1" applyAlignment="1" applyProtection="1">
      <alignment horizontal="left" vertical="center" shrinkToFit="1"/>
      <protection hidden="1"/>
    </xf>
    <xf numFmtId="0" fontId="2" fillId="0" borderId="8" xfId="0" applyFont="1" applyBorder="1" applyAlignment="1" applyProtection="1">
      <alignment horizontal="left" vertical="center" shrinkToFit="1"/>
      <protection hidden="1"/>
    </xf>
    <xf numFmtId="1" fontId="2" fillId="0" borderId="6" xfId="0" applyNumberFormat="1" applyFont="1" applyBorder="1" applyAlignment="1" applyProtection="1">
      <alignment horizontal="left" vertical="center" shrinkToFit="1"/>
      <protection hidden="1"/>
    </xf>
    <xf numFmtId="1" fontId="2" fillId="0" borderId="7" xfId="0" applyNumberFormat="1" applyFont="1" applyBorder="1" applyAlignment="1" applyProtection="1">
      <alignment horizontal="left" vertical="center" shrinkToFit="1"/>
      <protection hidden="1"/>
    </xf>
    <xf numFmtId="1" fontId="2" fillId="0" borderId="46" xfId="0" applyNumberFormat="1" applyFont="1" applyBorder="1" applyAlignment="1" applyProtection="1">
      <alignment horizontal="left" vertical="center" shrinkToFit="1"/>
      <protection hidden="1"/>
    </xf>
    <xf numFmtId="0" fontId="1" fillId="0" borderId="1" xfId="0" applyFont="1" applyBorder="1" applyAlignment="1" applyProtection="1">
      <alignment horizontal="left" vertical="center"/>
      <protection hidden="1"/>
    </xf>
    <xf numFmtId="0" fontId="1" fillId="0" borderId="2" xfId="0" applyFont="1" applyBorder="1" applyAlignment="1" applyProtection="1">
      <alignment horizontal="left" vertical="center"/>
      <protection hidden="1"/>
    </xf>
    <xf numFmtId="0" fontId="1" fillId="0" borderId="37" xfId="0" applyFont="1" applyBorder="1" applyAlignment="1" applyProtection="1">
      <alignment horizontal="left" vertical="center"/>
      <protection hidden="1"/>
    </xf>
    <xf numFmtId="0" fontId="1" fillId="0" borderId="17" xfId="0" applyFont="1" applyBorder="1" applyAlignment="1" applyProtection="1">
      <alignment horizontal="left" vertical="center"/>
      <protection hidden="1"/>
    </xf>
    <xf numFmtId="1" fontId="12" fillId="0" borderId="20" xfId="0" applyNumberFormat="1" applyFont="1" applyBorder="1" applyAlignment="1" applyProtection="1">
      <alignment horizontal="left" vertical="center" shrinkToFit="1"/>
      <protection hidden="1"/>
    </xf>
    <xf numFmtId="1" fontId="12" fillId="0" borderId="29" xfId="0" applyNumberFormat="1" applyFont="1" applyBorder="1" applyAlignment="1" applyProtection="1">
      <alignment horizontal="left" vertical="center" shrinkToFit="1"/>
      <protection hidden="1"/>
    </xf>
    <xf numFmtId="1" fontId="12" fillId="0" borderId="21" xfId="0" applyNumberFormat="1" applyFont="1" applyBorder="1" applyAlignment="1" applyProtection="1">
      <alignment horizontal="left" vertical="center" shrinkToFit="1"/>
      <protection hidden="1"/>
    </xf>
    <xf numFmtId="0" fontId="17" fillId="4" borderId="24" xfId="0" applyFont="1" applyFill="1" applyBorder="1" applyAlignment="1" applyProtection="1">
      <alignment horizontal="left" vertical="center"/>
      <protection hidden="1"/>
    </xf>
    <xf numFmtId="0" fontId="17" fillId="4" borderId="30" xfId="0" applyFont="1" applyFill="1" applyBorder="1" applyAlignment="1" applyProtection="1">
      <alignment horizontal="left" vertical="center"/>
      <protection hidden="1"/>
    </xf>
    <xf numFmtId="0" fontId="17" fillId="4" borderId="38" xfId="0" applyFont="1" applyFill="1" applyBorder="1" applyAlignment="1" applyProtection="1">
      <alignment horizontal="left" vertical="center"/>
      <protection hidden="1"/>
    </xf>
    <xf numFmtId="0" fontId="17" fillId="4" borderId="26" xfId="4" applyFont="1" applyFill="1" applyBorder="1" applyAlignment="1" applyProtection="1">
      <alignment horizontal="left" vertical="center"/>
      <protection hidden="1"/>
    </xf>
    <xf numFmtId="0" fontId="17" fillId="4" borderId="61" xfId="4" applyFont="1" applyFill="1" applyBorder="1" applyAlignment="1" applyProtection="1">
      <alignment horizontal="left" vertical="center"/>
      <protection hidden="1"/>
    </xf>
    <xf numFmtId="0" fontId="12" fillId="0" borderId="61" xfId="0" applyFont="1" applyBorder="1" applyAlignment="1" applyProtection="1">
      <alignment horizontal="left" shrinkToFit="1"/>
      <protection hidden="1"/>
    </xf>
    <xf numFmtId="0" fontId="17" fillId="4" borderId="24" xfId="0" applyFont="1" applyFill="1" applyBorder="1" applyAlignment="1" applyProtection="1">
      <alignment horizontal="left" vertical="center" shrinkToFit="1"/>
      <protection hidden="1"/>
    </xf>
    <xf numFmtId="0" fontId="17" fillId="4" borderId="38" xfId="0" applyFont="1" applyFill="1" applyBorder="1" applyAlignment="1" applyProtection="1">
      <alignment horizontal="left" vertical="center" shrinkToFit="1"/>
      <protection hidden="1"/>
    </xf>
    <xf numFmtId="14" fontId="12" fillId="0" borderId="44" xfId="0" applyNumberFormat="1" applyFont="1" applyBorder="1" applyAlignment="1" applyProtection="1">
      <alignment horizontal="left" vertical="center" shrinkToFit="1"/>
      <protection hidden="1"/>
    </xf>
    <xf numFmtId="14" fontId="12" fillId="0" borderId="47" xfId="0" applyNumberFormat="1" applyFont="1" applyBorder="1" applyAlignment="1" applyProtection="1">
      <alignment horizontal="left" vertical="center" shrinkToFit="1"/>
      <protection hidden="1"/>
    </xf>
    <xf numFmtId="0" fontId="12" fillId="2" borderId="30" xfId="0" applyFont="1" applyFill="1" applyBorder="1" applyAlignment="1" applyProtection="1">
      <alignment horizontal="left" vertical="center" shrinkToFit="1"/>
      <protection hidden="1"/>
    </xf>
    <xf numFmtId="0" fontId="12" fillId="2" borderId="38" xfId="0" applyFont="1" applyFill="1" applyBorder="1" applyAlignment="1" applyProtection="1">
      <alignment horizontal="left" vertical="center" shrinkToFit="1"/>
      <protection hidden="1"/>
    </xf>
    <xf numFmtId="0" fontId="17" fillId="4" borderId="9" xfId="4" applyFont="1" applyFill="1" applyBorder="1" applyAlignment="1" applyProtection="1">
      <alignment horizontal="left" vertical="center"/>
      <protection hidden="1"/>
    </xf>
    <xf numFmtId="0" fontId="17" fillId="4" borderId="19" xfId="4" applyFont="1" applyFill="1" applyBorder="1" applyAlignment="1" applyProtection="1">
      <alignment horizontal="left" vertical="center"/>
      <protection hidden="1"/>
    </xf>
    <xf numFmtId="1" fontId="12" fillId="0" borderId="19" xfId="0" applyNumberFormat="1" applyFont="1" applyBorder="1" applyAlignment="1" applyProtection="1">
      <alignment horizontal="left" shrinkToFit="1"/>
      <protection hidden="1"/>
    </xf>
    <xf numFmtId="14" fontId="12" fillId="0" borderId="20" xfId="0" applyNumberFormat="1" applyFont="1" applyBorder="1" applyAlignment="1" applyProtection="1">
      <alignment horizontal="left" vertical="center" shrinkToFit="1"/>
      <protection hidden="1"/>
    </xf>
    <xf numFmtId="14" fontId="12" fillId="0" borderId="29" xfId="0" applyNumberFormat="1" applyFont="1" applyBorder="1" applyAlignment="1" applyProtection="1">
      <alignment horizontal="left" vertical="center" shrinkToFit="1"/>
      <protection hidden="1"/>
    </xf>
    <xf numFmtId="0" fontId="17" fillId="4" borderId="48" xfId="0" applyFont="1" applyFill="1" applyBorder="1" applyAlignment="1" applyProtection="1">
      <alignment horizontal="center" vertical="center"/>
      <protection hidden="1"/>
    </xf>
    <xf numFmtId="0" fontId="17" fillId="4" borderId="15" xfId="0" applyFont="1" applyFill="1" applyBorder="1" applyAlignment="1" applyProtection="1">
      <alignment horizontal="center" vertical="center"/>
      <protection hidden="1"/>
    </xf>
    <xf numFmtId="0" fontId="17" fillId="4" borderId="10" xfId="0" applyFont="1" applyFill="1" applyBorder="1" applyAlignment="1" applyProtection="1">
      <alignment horizontal="center" vertical="center"/>
      <protection hidden="1"/>
    </xf>
    <xf numFmtId="0" fontId="17" fillId="4" borderId="2" xfId="0" applyFont="1" applyFill="1" applyBorder="1" applyAlignment="1" applyProtection="1">
      <alignment horizontal="center" vertical="center"/>
      <protection hidden="1"/>
    </xf>
    <xf numFmtId="0" fontId="17" fillId="4" borderId="49" xfId="0" applyFont="1" applyFill="1" applyBorder="1" applyAlignment="1" applyProtection="1">
      <alignment horizontal="center" vertical="center"/>
      <protection hidden="1"/>
    </xf>
    <xf numFmtId="0" fontId="17" fillId="4" borderId="16" xfId="0" applyFont="1" applyFill="1" applyBorder="1" applyAlignment="1" applyProtection="1">
      <alignment horizontal="center" vertical="center"/>
      <protection hidden="1"/>
    </xf>
    <xf numFmtId="0" fontId="17" fillId="4" borderId="17" xfId="0" applyFont="1" applyFill="1" applyBorder="1" applyAlignment="1" applyProtection="1">
      <alignment horizontal="center" vertical="center"/>
      <protection hidden="1"/>
    </xf>
    <xf numFmtId="0" fontId="17" fillId="4" borderId="54" xfId="0" applyFont="1" applyFill="1" applyBorder="1" applyAlignment="1" applyProtection="1">
      <alignment horizontal="center" vertical="center"/>
      <protection hidden="1"/>
    </xf>
    <xf numFmtId="0" fontId="17" fillId="4" borderId="43" xfId="0" applyFont="1" applyFill="1" applyBorder="1" applyAlignment="1" applyProtection="1">
      <alignment horizontal="center" vertical="center" wrapText="1"/>
      <protection hidden="1"/>
    </xf>
    <xf numFmtId="0" fontId="17" fillId="4" borderId="55" xfId="0" applyFont="1" applyFill="1" applyBorder="1" applyAlignment="1" applyProtection="1">
      <alignment horizontal="center" vertical="center" wrapText="1"/>
      <protection hidden="1"/>
    </xf>
    <xf numFmtId="0" fontId="17" fillId="4" borderId="43" xfId="0" applyFont="1" applyFill="1" applyBorder="1" applyAlignment="1" applyProtection="1">
      <alignment horizontal="center" vertical="center"/>
      <protection hidden="1"/>
    </xf>
    <xf numFmtId="0" fontId="21" fillId="4" borderId="52" xfId="4" applyFont="1" applyFill="1" applyBorder="1" applyAlignment="1" applyProtection="1">
      <alignment horizontal="center" vertical="center"/>
      <protection locked="0"/>
    </xf>
    <xf numFmtId="0" fontId="21" fillId="4" borderId="30" xfId="4" applyFont="1" applyFill="1" applyBorder="1" applyAlignment="1" applyProtection="1">
      <alignment horizontal="center" vertical="center"/>
      <protection locked="0"/>
    </xf>
    <xf numFmtId="0" fontId="21" fillId="4" borderId="53" xfId="4" applyFont="1" applyFill="1" applyBorder="1" applyAlignment="1" applyProtection="1">
      <alignment horizontal="center" vertical="center"/>
      <protection locked="0"/>
    </xf>
    <xf numFmtId="0" fontId="17" fillId="0" borderId="24" xfId="0" applyFont="1" applyBorder="1" applyAlignment="1" applyProtection="1">
      <alignment horizontal="left" vertical="center"/>
      <protection hidden="1"/>
    </xf>
    <xf numFmtId="0" fontId="17" fillId="0" borderId="30" xfId="0" applyFont="1" applyBorder="1" applyAlignment="1" applyProtection="1">
      <alignment horizontal="left" vertical="center"/>
      <protection hidden="1"/>
    </xf>
    <xf numFmtId="0" fontId="17" fillId="0" borderId="38" xfId="0" applyFont="1" applyBorder="1" applyAlignment="1" applyProtection="1">
      <alignment horizontal="left" vertical="center"/>
      <protection hidden="1"/>
    </xf>
    <xf numFmtId="0" fontId="12" fillId="0" borderId="24"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7" fillId="4" borderId="50" xfId="0" applyFont="1" applyFill="1" applyBorder="1" applyAlignment="1" applyProtection="1">
      <alignment horizontal="center" vertical="center"/>
      <protection hidden="1"/>
    </xf>
    <xf numFmtId="0" fontId="17" fillId="4" borderId="56" xfId="0" applyFont="1" applyFill="1" applyBorder="1" applyAlignment="1" applyProtection="1">
      <alignment horizontal="center" vertical="center"/>
      <protection hidden="1"/>
    </xf>
    <xf numFmtId="0" fontId="17" fillId="4" borderId="43" xfId="0" applyFont="1" applyFill="1" applyBorder="1" applyAlignment="1" applyProtection="1">
      <alignment horizontal="center"/>
      <protection hidden="1"/>
    </xf>
    <xf numFmtId="1" fontId="12" fillId="0" borderId="61" xfId="0" applyNumberFormat="1" applyFont="1" applyBorder="1" applyAlignment="1" applyProtection="1">
      <alignment horizontal="left" vertical="center" shrinkToFit="1"/>
      <protection hidden="1"/>
    </xf>
    <xf numFmtId="1" fontId="12" fillId="2" borderId="30" xfId="0" applyNumberFormat="1" applyFont="1" applyFill="1" applyBorder="1" applyAlignment="1" applyProtection="1">
      <alignment horizontal="left" vertical="center" shrinkToFit="1"/>
      <protection hidden="1"/>
    </xf>
    <xf numFmtId="1" fontId="12" fillId="2" borderId="38" xfId="0" applyNumberFormat="1" applyFont="1" applyFill="1" applyBorder="1" applyAlignment="1" applyProtection="1">
      <alignment horizontal="left" vertical="center" shrinkToFit="1"/>
      <protection hidden="1"/>
    </xf>
    <xf numFmtId="1" fontId="12" fillId="0" borderId="19" xfId="0" applyNumberFormat="1" applyFont="1" applyBorder="1" applyAlignment="1" applyProtection="1">
      <alignment horizontal="left" vertical="center" shrinkToFit="1"/>
      <protection hidden="1"/>
    </xf>
    <xf numFmtId="0" fontId="2" fillId="0" borderId="6" xfId="0" applyFont="1" applyBorder="1" applyAlignment="1" applyProtection="1">
      <alignment vertical="center" shrinkToFit="1"/>
      <protection hidden="1"/>
    </xf>
    <xf numFmtId="0" fontId="2" fillId="0" borderId="7" xfId="0" applyFont="1" applyBorder="1" applyAlignment="1" applyProtection="1">
      <alignment vertical="center" shrinkToFit="1"/>
      <protection hidden="1"/>
    </xf>
    <xf numFmtId="0" fontId="2" fillId="0" borderId="8" xfId="0" applyFont="1" applyBorder="1" applyAlignment="1" applyProtection="1">
      <alignment vertical="center" shrinkToFit="1"/>
      <protection hidden="1"/>
    </xf>
    <xf numFmtId="1" fontId="2" fillId="0" borderId="6" xfId="0" applyNumberFormat="1" applyFont="1" applyBorder="1" applyAlignment="1" applyProtection="1">
      <alignment vertical="center" shrinkToFit="1"/>
      <protection hidden="1"/>
    </xf>
    <xf numFmtId="1" fontId="2" fillId="0" borderId="7" xfId="0" applyNumberFormat="1" applyFont="1" applyBorder="1" applyAlignment="1" applyProtection="1">
      <alignment vertical="center" shrinkToFit="1"/>
      <protection hidden="1"/>
    </xf>
    <xf numFmtId="1" fontId="2" fillId="0" borderId="46" xfId="0" applyNumberFormat="1" applyFont="1" applyBorder="1" applyAlignment="1" applyProtection="1">
      <alignment vertical="center" shrinkToFit="1"/>
      <protection hidden="1"/>
    </xf>
    <xf numFmtId="0" fontId="0" fillId="0" borderId="0" xfId="0" applyAlignment="1">
      <alignment horizontal="left"/>
    </xf>
    <xf numFmtId="0" fontId="14" fillId="0" borderId="0" xfId="0" applyFont="1" applyAlignment="1" applyProtection="1">
      <alignment horizontal="center"/>
      <protection hidden="1"/>
    </xf>
    <xf numFmtId="0" fontId="7" fillId="5" borderId="7" xfId="0" applyFont="1" applyFill="1" applyBorder="1" applyAlignment="1" applyProtection="1">
      <alignment horizontal="left"/>
      <protection hidden="1"/>
    </xf>
    <xf numFmtId="0" fontId="7" fillId="5" borderId="8" xfId="0" applyFont="1" applyFill="1" applyBorder="1" applyAlignment="1" applyProtection="1">
      <alignment horizontal="left"/>
      <protection hidden="1"/>
    </xf>
    <xf numFmtId="0" fontId="32" fillId="0" borderId="1" xfId="0" applyFont="1" applyBorder="1" applyAlignment="1" applyProtection="1">
      <alignment horizontal="left"/>
      <protection hidden="1"/>
    </xf>
    <xf numFmtId="0" fontId="12" fillId="0" borderId="3" xfId="0" applyFont="1" applyBorder="1" applyAlignment="1" applyProtection="1">
      <alignment horizontal="left"/>
      <protection hidden="1"/>
    </xf>
    <xf numFmtId="0" fontId="32" fillId="0" borderId="37" xfId="0" applyFont="1" applyBorder="1" applyAlignment="1" applyProtection="1">
      <alignment horizontal="left"/>
      <protection hidden="1"/>
    </xf>
    <xf numFmtId="0" fontId="12" fillId="0" borderId="18" xfId="0" applyFont="1" applyBorder="1" applyAlignment="1" applyProtection="1">
      <alignment horizontal="left"/>
      <protection hidden="1"/>
    </xf>
    <xf numFmtId="0" fontId="7" fillId="5" borderId="17" xfId="0" applyFont="1" applyFill="1" applyBorder="1" applyAlignment="1" applyProtection="1">
      <alignment horizontal="center"/>
      <protection hidden="1"/>
    </xf>
    <xf numFmtId="0" fontId="7" fillId="5" borderId="6" xfId="0" applyFont="1" applyFill="1" applyBorder="1" applyAlignment="1" applyProtection="1">
      <alignment horizontal="left"/>
      <protection hidden="1"/>
    </xf>
    <xf numFmtId="0" fontId="12" fillId="0" borderId="1" xfId="0" applyFont="1" applyBorder="1" applyAlignment="1" applyProtection="1">
      <alignment horizontal="left"/>
      <protection hidden="1"/>
    </xf>
    <xf numFmtId="0" fontId="12" fillId="0" borderId="2" xfId="0" applyFont="1" applyBorder="1" applyAlignment="1" applyProtection="1">
      <alignment horizontal="left"/>
      <protection hidden="1"/>
    </xf>
    <xf numFmtId="0" fontId="12" fillId="0" borderId="37" xfId="0" applyFont="1" applyBorder="1" applyAlignment="1" applyProtection="1">
      <alignment horizontal="left"/>
      <protection hidden="1"/>
    </xf>
    <xf numFmtId="0" fontId="12" fillId="0" borderId="17" xfId="0" applyFont="1" applyBorder="1" applyAlignment="1" applyProtection="1">
      <alignment horizontal="left"/>
      <protection hidden="1"/>
    </xf>
  </cellXfs>
  <cellStyles count="6">
    <cellStyle name="Link" xfId="5" builtinId="8"/>
    <cellStyle name="Standard" xfId="0" builtinId="0"/>
    <cellStyle name="Standard 2" xfId="1" xr:uid="{4DCD03B1-D5D2-4DE6-ADC8-3F0361F5F8F9}"/>
    <cellStyle name="Standard 2 2" xfId="2" xr:uid="{2BB2CD63-2840-4CD3-9427-B186E111DAD4}"/>
    <cellStyle name="Standard_76379 Wkzg 02 24fach" xfId="4" xr:uid="{8597D573-44B6-49EF-889C-CFC950E9638C}"/>
    <cellStyle name="Standard_Tabelle1" xfId="3" xr:uid="{6A6B2AC5-E4AE-47F9-B616-3A5CAB75A5D8}"/>
  </cellStyles>
  <dxfs count="81">
    <dxf>
      <font>
        <b/>
        <i val="0"/>
        <color rgb="FF66FF33"/>
      </font>
    </dxf>
    <dxf>
      <font>
        <b/>
        <i val="0"/>
        <color rgb="FF66FF33"/>
      </font>
    </dxf>
    <dxf>
      <font>
        <b/>
        <i val="0"/>
        <color rgb="FF66FF33"/>
      </font>
    </dxf>
    <dxf>
      <font>
        <b/>
        <i val="0"/>
        <color rgb="FF66FF33"/>
      </font>
    </dxf>
    <dxf>
      <font>
        <b/>
        <i val="0"/>
        <color rgb="FF66FF33"/>
      </font>
    </dxf>
    <dxf>
      <font>
        <b/>
        <i val="0"/>
        <color rgb="FF66FF33"/>
      </font>
    </dxf>
    <dxf>
      <font>
        <strike val="0"/>
        <color theme="0"/>
      </font>
    </dxf>
    <dxf>
      <font>
        <strike val="0"/>
        <color theme="0"/>
      </font>
    </dxf>
    <dxf>
      <font>
        <strike val="0"/>
        <color theme="0"/>
      </font>
    </dxf>
    <dxf>
      <font>
        <strike val="0"/>
        <color theme="0"/>
      </font>
    </dxf>
    <dxf>
      <font>
        <strike val="0"/>
        <color theme="0"/>
      </font>
    </dxf>
    <dxf>
      <font>
        <strike val="0"/>
        <color theme="0"/>
      </font>
    </dxf>
    <dxf>
      <font>
        <b/>
        <i val="0"/>
        <color rgb="FFFF0000"/>
      </font>
    </dxf>
    <dxf>
      <font>
        <b/>
        <i val="0"/>
        <color rgb="FFFF0000"/>
      </font>
    </dxf>
    <dxf>
      <font>
        <b/>
        <i val="0"/>
        <color rgb="FF66FF33"/>
      </font>
    </dxf>
    <dxf>
      <font>
        <b/>
        <i val="0"/>
        <color rgb="FF66FF33"/>
      </font>
    </dxf>
    <dxf>
      <font>
        <strike val="0"/>
        <color theme="0"/>
      </font>
    </dxf>
    <dxf>
      <font>
        <strike val="0"/>
        <color theme="0"/>
      </font>
    </dxf>
    <dxf>
      <font>
        <color theme="0"/>
      </font>
    </dxf>
    <dxf>
      <font>
        <color theme="0"/>
      </font>
    </dxf>
    <dxf>
      <font>
        <color theme="0"/>
      </font>
    </dxf>
    <dxf>
      <font>
        <color theme="0"/>
      </font>
    </dxf>
    <dxf>
      <font>
        <b/>
        <i val="0"/>
        <color rgb="FFFF0000"/>
      </font>
    </dxf>
    <dxf>
      <font>
        <b/>
        <i val="0"/>
        <color rgb="FFFF0000"/>
      </font>
    </dxf>
    <dxf>
      <font>
        <b/>
        <i val="0"/>
        <color rgb="FF66FF33"/>
      </font>
    </dxf>
    <dxf>
      <font>
        <b/>
        <i val="0"/>
        <color rgb="FF66FF33"/>
      </font>
    </dxf>
    <dxf>
      <font>
        <strike val="0"/>
        <color theme="0"/>
      </font>
    </dxf>
    <dxf>
      <font>
        <strike val="0"/>
        <color theme="0"/>
      </font>
    </dxf>
    <dxf>
      <font>
        <color theme="0"/>
      </font>
    </dxf>
    <dxf>
      <font>
        <color theme="0"/>
      </font>
    </dxf>
    <dxf>
      <font>
        <b/>
        <i val="0"/>
        <color rgb="FFFF0000"/>
      </font>
    </dxf>
    <dxf>
      <font>
        <b/>
        <i val="0"/>
        <color rgb="FFFF0000"/>
      </font>
    </dxf>
    <dxf>
      <font>
        <b/>
        <i val="0"/>
        <color rgb="FF66FF33"/>
      </font>
    </dxf>
    <dxf>
      <font>
        <b/>
        <i val="0"/>
        <color rgb="FF66FF33"/>
      </font>
    </dxf>
    <dxf>
      <font>
        <strike val="0"/>
        <color theme="0"/>
      </font>
    </dxf>
    <dxf>
      <font>
        <strike val="0"/>
        <color theme="0"/>
      </font>
    </dxf>
    <dxf>
      <font>
        <b/>
        <i val="0"/>
        <color rgb="FF66FF33"/>
      </font>
    </dxf>
    <dxf>
      <font>
        <b/>
        <i val="0"/>
        <color rgb="FF66FF33"/>
      </font>
    </dxf>
    <dxf>
      <font>
        <b/>
        <i val="0"/>
        <color rgb="FF66FF33"/>
      </font>
    </dxf>
    <dxf>
      <font>
        <b/>
        <i val="0"/>
        <color rgb="FF66FF33"/>
      </font>
    </dxf>
    <dxf>
      <font>
        <b/>
        <i val="0"/>
        <color rgb="FF66FF33"/>
      </font>
    </dxf>
    <dxf>
      <font>
        <b/>
        <i val="0"/>
        <color rgb="FF66FF33"/>
      </font>
    </dxf>
    <dxf>
      <font>
        <strike val="0"/>
        <color theme="0"/>
      </font>
    </dxf>
    <dxf>
      <font>
        <strike val="0"/>
        <color theme="0"/>
      </font>
    </dxf>
    <dxf>
      <font>
        <strike val="0"/>
        <color theme="0"/>
      </font>
    </dxf>
    <dxf>
      <font>
        <strike val="0"/>
        <color theme="0"/>
      </font>
    </dxf>
    <dxf>
      <font>
        <strike val="0"/>
        <color theme="0"/>
      </font>
    </dxf>
    <dxf>
      <font>
        <strike val="0"/>
        <color theme="0"/>
      </font>
    </dxf>
    <dxf>
      <font>
        <b/>
        <i val="0"/>
        <color rgb="FFFF0000"/>
      </font>
    </dxf>
    <dxf>
      <font>
        <b/>
        <i val="0"/>
        <color rgb="FFFF0000"/>
      </font>
    </dxf>
    <dxf>
      <font>
        <b/>
        <i val="0"/>
        <color rgb="FF66FF33"/>
      </font>
    </dxf>
    <dxf>
      <font>
        <b/>
        <i val="0"/>
        <color rgb="FF66FF33"/>
      </font>
    </dxf>
    <dxf>
      <font>
        <strike val="0"/>
        <color theme="0"/>
      </font>
    </dxf>
    <dxf>
      <font>
        <strike val="0"/>
        <color theme="0"/>
      </font>
    </dxf>
    <dxf>
      <font>
        <color theme="0"/>
      </font>
    </dxf>
    <dxf>
      <font>
        <color theme="0"/>
      </font>
    </dxf>
    <dxf>
      <font>
        <color theme="0"/>
      </font>
    </dxf>
    <dxf>
      <font>
        <color theme="0"/>
      </font>
    </dxf>
    <dxf>
      <font>
        <b/>
        <i val="0"/>
        <color rgb="FFFF0000"/>
      </font>
    </dxf>
    <dxf>
      <font>
        <b/>
        <i val="0"/>
        <color rgb="FFFF0000"/>
      </font>
    </dxf>
    <dxf>
      <font>
        <b/>
        <i val="0"/>
        <color rgb="FF66FF33"/>
      </font>
    </dxf>
    <dxf>
      <font>
        <b/>
        <i val="0"/>
        <color rgb="FF66FF33"/>
      </font>
    </dxf>
    <dxf>
      <font>
        <strike val="0"/>
        <color theme="0"/>
      </font>
    </dxf>
    <dxf>
      <font>
        <strike val="0"/>
        <color theme="0"/>
      </font>
    </dxf>
    <dxf>
      <font>
        <color theme="0"/>
      </font>
    </dxf>
    <dxf>
      <font>
        <color theme="0"/>
      </font>
    </dxf>
    <dxf>
      <font>
        <b/>
        <i val="0"/>
        <color rgb="FFFF0000"/>
      </font>
    </dxf>
    <dxf>
      <font>
        <b/>
        <i val="0"/>
        <color rgb="FFFF0000"/>
      </font>
    </dxf>
    <dxf>
      <font>
        <b/>
        <i val="0"/>
        <color rgb="FF66FF33"/>
      </font>
    </dxf>
    <dxf>
      <font>
        <b/>
        <i val="0"/>
        <color rgb="FF66FF33"/>
      </font>
    </dxf>
    <dxf>
      <font>
        <strike val="0"/>
        <color theme="0"/>
      </font>
    </dxf>
    <dxf>
      <font>
        <strike val="0"/>
        <color theme="0"/>
      </font>
    </dxf>
    <dxf>
      <font>
        <b/>
        <i val="0"/>
        <color rgb="FF66FF33"/>
      </font>
    </dxf>
    <dxf>
      <font>
        <b/>
        <i val="0"/>
        <color rgb="FF66FF33"/>
      </font>
    </dxf>
    <dxf>
      <font>
        <b/>
        <i val="0"/>
        <color rgb="FFFF0000"/>
      </font>
    </dxf>
    <dxf>
      <font>
        <b/>
        <i val="0"/>
        <color rgb="FFFF0000"/>
      </font>
    </dxf>
    <dxf>
      <font>
        <b/>
        <i val="0"/>
        <color rgb="FF66FF33"/>
      </font>
    </dxf>
    <dxf>
      <font>
        <b/>
        <i val="0"/>
        <color rgb="FFFF0000"/>
      </font>
    </dxf>
    <dxf>
      <font>
        <color rgb="FF66FF33"/>
      </font>
    </dxf>
    <dxf>
      <font>
        <b/>
        <i val="0"/>
        <color rgb="FF66FF33"/>
      </font>
    </dxf>
    <dxf>
      <font>
        <b/>
        <i val="0"/>
        <color rgb="FFFF0000"/>
      </font>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0</xdr:row>
      <xdr:rowOff>133350</xdr:rowOff>
    </xdr:from>
    <xdr:to>
      <xdr:col>7</xdr:col>
      <xdr:colOff>1168400</xdr:colOff>
      <xdr:row>2</xdr:row>
      <xdr:rowOff>25400</xdr:rowOff>
    </xdr:to>
    <xdr:pic>
      <xdr:nvPicPr>
        <xdr:cNvPr id="2" name="Bild 1" descr="fischer_logo_M_pos_RGB">
          <a:extLst>
            <a:ext uri="{FF2B5EF4-FFF2-40B4-BE49-F238E27FC236}">
              <a16:creationId xmlns:a16="http://schemas.microsoft.com/office/drawing/2014/main" id="{8522BB36-3B43-4424-8FC2-15BF732E31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9525" y="133350"/>
          <a:ext cx="1873250" cy="330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190499</xdr:colOff>
      <xdr:row>0</xdr:row>
      <xdr:rowOff>95249</xdr:rowOff>
    </xdr:from>
    <xdr:to>
      <xdr:col>17</xdr:col>
      <xdr:colOff>625474</xdr:colOff>
      <xdr:row>1</xdr:row>
      <xdr:rowOff>171450</xdr:rowOff>
    </xdr:to>
    <xdr:pic>
      <xdr:nvPicPr>
        <xdr:cNvPr id="2" name="Bild 1" descr="fischer_logo_M_pos_RGB">
          <a:extLst>
            <a:ext uri="{FF2B5EF4-FFF2-40B4-BE49-F238E27FC236}">
              <a16:creationId xmlns:a16="http://schemas.microsoft.com/office/drawing/2014/main" id="{0939880E-CDCA-418C-9A45-FEA3CAC5ED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53199" y="95249"/>
          <a:ext cx="2473325" cy="40005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190499</xdr:colOff>
      <xdr:row>0</xdr:row>
      <xdr:rowOff>95249</xdr:rowOff>
    </xdr:from>
    <xdr:to>
      <xdr:col>17</xdr:col>
      <xdr:colOff>625474</xdr:colOff>
      <xdr:row>1</xdr:row>
      <xdr:rowOff>171450</xdr:rowOff>
    </xdr:to>
    <xdr:pic>
      <xdr:nvPicPr>
        <xdr:cNvPr id="2" name="Bild 1" descr="fischer_logo_M_pos_RGB">
          <a:extLst>
            <a:ext uri="{FF2B5EF4-FFF2-40B4-BE49-F238E27FC236}">
              <a16:creationId xmlns:a16="http://schemas.microsoft.com/office/drawing/2014/main" id="{B5BF788B-2792-43D1-A717-7364A3E759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53199" y="95249"/>
          <a:ext cx="2473325" cy="4000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695325</xdr:colOff>
      <xdr:row>7</xdr:row>
      <xdr:rowOff>57150</xdr:rowOff>
    </xdr:from>
    <xdr:to>
      <xdr:col>1</xdr:col>
      <xdr:colOff>200025</xdr:colOff>
      <xdr:row>9</xdr:row>
      <xdr:rowOff>57150</xdr:rowOff>
    </xdr:to>
    <xdr:sp macro="" textlink="">
      <xdr:nvSpPr>
        <xdr:cNvPr id="2" name="Legende mit Pfeil nach unten 2">
          <a:extLst>
            <a:ext uri="{FF2B5EF4-FFF2-40B4-BE49-F238E27FC236}">
              <a16:creationId xmlns:a16="http://schemas.microsoft.com/office/drawing/2014/main" id="{41F74C83-AEBD-426B-AB56-7FC216911E52}"/>
            </a:ext>
          </a:extLst>
        </xdr:cNvPr>
        <xdr:cNvSpPr/>
      </xdr:nvSpPr>
      <xdr:spPr bwMode="auto">
        <a:xfrm>
          <a:off x="695325" y="1190625"/>
          <a:ext cx="266700" cy="323850"/>
        </a:xfrm>
        <a:prstGeom prst="downArrowCallout">
          <a:avLst/>
        </a:prstGeom>
        <a:ln w="28575">
          <a:solidFill>
            <a:srgbClr val="0000FF"/>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de-DE" sz="1100" b="1">
              <a:solidFill>
                <a:srgbClr val="0000FF"/>
              </a:solidFill>
            </a:rPr>
            <a:t>1</a:t>
          </a:r>
        </a:p>
      </xdr:txBody>
    </xdr:sp>
    <xdr:clientData/>
  </xdr:twoCellAnchor>
  <xdr:twoCellAnchor>
    <xdr:from>
      <xdr:col>0</xdr:col>
      <xdr:colOff>47625</xdr:colOff>
      <xdr:row>3</xdr:row>
      <xdr:rowOff>47625</xdr:rowOff>
    </xdr:from>
    <xdr:to>
      <xdr:col>2</xdr:col>
      <xdr:colOff>390525</xdr:colOff>
      <xdr:row>6</xdr:row>
      <xdr:rowOff>57150</xdr:rowOff>
    </xdr:to>
    <xdr:sp macro="" textlink="">
      <xdr:nvSpPr>
        <xdr:cNvPr id="3" name="Textfeld 2">
          <a:extLst>
            <a:ext uri="{FF2B5EF4-FFF2-40B4-BE49-F238E27FC236}">
              <a16:creationId xmlns:a16="http://schemas.microsoft.com/office/drawing/2014/main" id="{0918478A-F2E9-4E4D-AF62-D743E34A49F8}"/>
            </a:ext>
          </a:extLst>
        </xdr:cNvPr>
        <xdr:cNvSpPr txBox="1"/>
      </xdr:nvSpPr>
      <xdr:spPr>
        <a:xfrm>
          <a:off x="47625" y="533400"/>
          <a:ext cx="1866900" cy="49530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de-DE" sz="1600" b="1"/>
            <a:t>Nur Prüfzeichnung</a:t>
          </a:r>
        </a:p>
      </xdr:txBody>
    </xdr:sp>
    <xdr:clientData/>
  </xdr:twoCellAnchor>
  <xdr:twoCellAnchor>
    <xdr:from>
      <xdr:col>2</xdr:col>
      <xdr:colOff>476250</xdr:colOff>
      <xdr:row>3</xdr:row>
      <xdr:rowOff>38100</xdr:rowOff>
    </xdr:from>
    <xdr:to>
      <xdr:col>5</xdr:col>
      <xdr:colOff>57150</xdr:colOff>
      <xdr:row>6</xdr:row>
      <xdr:rowOff>47625</xdr:rowOff>
    </xdr:to>
    <xdr:sp macro="" textlink="">
      <xdr:nvSpPr>
        <xdr:cNvPr id="4" name="Textfeld 3">
          <a:extLst>
            <a:ext uri="{FF2B5EF4-FFF2-40B4-BE49-F238E27FC236}">
              <a16:creationId xmlns:a16="http://schemas.microsoft.com/office/drawing/2014/main" id="{8D1FBD00-7873-47CD-B8B1-8F3B739789A7}"/>
            </a:ext>
          </a:extLst>
        </xdr:cNvPr>
        <xdr:cNvSpPr txBox="1"/>
      </xdr:nvSpPr>
      <xdr:spPr>
        <a:xfrm>
          <a:off x="2000250" y="523875"/>
          <a:ext cx="1866900" cy="49530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de-DE" sz="1600" b="1"/>
            <a:t>Only</a:t>
          </a:r>
          <a:r>
            <a:rPr lang="de-DE" sz="1600" b="1" baseline="0"/>
            <a:t> test drawing</a:t>
          </a:r>
          <a:endParaRPr lang="de-DE" sz="1600" b="1"/>
        </a:p>
      </xdr:txBody>
    </xdr:sp>
    <xdr:clientData/>
  </xdr:twoCellAnchor>
  <xdr:twoCellAnchor>
    <xdr:from>
      <xdr:col>2</xdr:col>
      <xdr:colOff>466725</xdr:colOff>
      <xdr:row>7</xdr:row>
      <xdr:rowOff>28575</xdr:rowOff>
    </xdr:from>
    <xdr:to>
      <xdr:col>5</xdr:col>
      <xdr:colOff>47625</xdr:colOff>
      <xdr:row>10</xdr:row>
      <xdr:rowOff>38100</xdr:rowOff>
    </xdr:to>
    <xdr:sp macro="" textlink="">
      <xdr:nvSpPr>
        <xdr:cNvPr id="5" name="Textfeld 4">
          <a:extLst>
            <a:ext uri="{FF2B5EF4-FFF2-40B4-BE49-F238E27FC236}">
              <a16:creationId xmlns:a16="http://schemas.microsoft.com/office/drawing/2014/main" id="{A9D429B2-5BDD-42EE-A015-4EA6D20C46C0}"/>
            </a:ext>
          </a:extLst>
        </xdr:cNvPr>
        <xdr:cNvSpPr txBox="1"/>
      </xdr:nvSpPr>
      <xdr:spPr>
        <a:xfrm>
          <a:off x="1990725" y="1162050"/>
          <a:ext cx="1866900" cy="49530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ja-JP" altLang="de-DE" sz="1600" b="1"/>
            <a:t>只有测试图</a:t>
          </a:r>
          <a:endParaRPr lang="de-DE" sz="16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1390650</xdr:colOff>
      <xdr:row>61</xdr:row>
      <xdr:rowOff>95250</xdr:rowOff>
    </xdr:from>
    <xdr:to>
      <xdr:col>5</xdr:col>
      <xdr:colOff>1628775</xdr:colOff>
      <xdr:row>64</xdr:row>
      <xdr:rowOff>9527</xdr:rowOff>
    </xdr:to>
    <xdr:cxnSp macro="">
      <xdr:nvCxnSpPr>
        <xdr:cNvPr id="3" name="Gerade Verbindung mit Pfeil 2">
          <a:extLst>
            <a:ext uri="{FF2B5EF4-FFF2-40B4-BE49-F238E27FC236}">
              <a16:creationId xmlns:a16="http://schemas.microsoft.com/office/drawing/2014/main" id="{65D4F23F-E3DC-4161-809D-4AC688F3DC2A}"/>
            </a:ext>
          </a:extLst>
        </xdr:cNvPr>
        <xdr:cNvCxnSpPr/>
      </xdr:nvCxnSpPr>
      <xdr:spPr bwMode="auto">
        <a:xfrm flipV="1">
          <a:off x="10906125" y="11420475"/>
          <a:ext cx="238125" cy="466727"/>
        </a:xfrm>
        <a:prstGeom prst="straightConnector1">
          <a:avLst/>
        </a:prstGeom>
        <a:ln>
          <a:solidFill>
            <a:srgbClr val="FF0000"/>
          </a:solidFill>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B1C2F-3DE7-48BA-B0CE-970ABB6526D6}">
  <dimension ref="A1:Q34"/>
  <sheetViews>
    <sheetView tabSelected="1" zoomScaleNormal="100" workbookViewId="0">
      <selection activeCell="F3" sqref="F3"/>
    </sheetView>
  </sheetViews>
  <sheetFormatPr baseColWidth="10" defaultColWidth="11.3984375" defaultRowHeight="12.75"/>
  <cols>
    <col min="2" max="2" width="14.1328125" customWidth="1"/>
    <col min="4" max="4" width="7" customWidth="1"/>
    <col min="5" max="5" width="1" customWidth="1"/>
    <col min="8" max="8" width="20" customWidth="1"/>
    <col min="9" max="9" width="3.265625" customWidth="1"/>
    <col min="10" max="10" width="3.3984375" customWidth="1"/>
    <col min="11" max="11" width="1.265625" customWidth="1"/>
    <col min="14" max="14" width="6.1328125" customWidth="1"/>
  </cols>
  <sheetData>
    <row r="1" spans="1:17" ht="14.25" customHeight="1">
      <c r="A1" s="276" t="str">
        <f>HLOOKUP(C5,'Katalog-Catalogue'!$A$2:$D$75,3,FALSE)</f>
        <v>Fixing systems</v>
      </c>
      <c r="B1" s="277"/>
      <c r="C1" s="277"/>
      <c r="D1" s="277"/>
      <c r="E1" s="277"/>
      <c r="F1" s="118"/>
      <c r="G1" s="118"/>
      <c r="H1" s="119"/>
      <c r="I1" s="259" t="str">
        <f>HLOOKUP(C5,'Katalog-Catalogue'!$A$2:$D$75,35,FALSE)</f>
        <v>Final result:</v>
      </c>
      <c r="J1" s="260"/>
      <c r="K1" s="260"/>
      <c r="L1" s="260"/>
      <c r="M1" s="260"/>
      <c r="N1" s="260"/>
      <c r="O1" s="263"/>
      <c r="P1" s="1"/>
      <c r="Q1" s="1"/>
    </row>
    <row r="2" spans="1:17" ht="20.25" customHeight="1">
      <c r="A2" s="278"/>
      <c r="B2" s="279"/>
      <c r="C2" s="279"/>
      <c r="D2" s="279"/>
      <c r="E2" s="279"/>
      <c r="F2" s="116"/>
      <c r="G2" s="116"/>
      <c r="H2" s="117"/>
      <c r="I2" s="261"/>
      <c r="J2" s="262"/>
      <c r="K2" s="262"/>
      <c r="L2" s="262"/>
      <c r="M2" s="262"/>
      <c r="N2" s="262"/>
      <c r="O2" s="264"/>
      <c r="P2" s="1"/>
      <c r="Q2" s="1"/>
    </row>
    <row r="3" spans="1:17" ht="22.5" customHeight="1">
      <c r="A3" s="138"/>
      <c r="B3" s="116"/>
      <c r="C3" s="116"/>
      <c r="D3" s="116"/>
      <c r="E3" s="116"/>
      <c r="F3" s="116"/>
      <c r="G3" s="116"/>
      <c r="H3" s="117"/>
      <c r="I3" s="265" t="str">
        <f>IF(AND($C$5="German",'Deckblatt-Cover sheet'!O1="P"),'Katalog-Catalogue'!G3,IF(AND($C$5="German",'Deckblatt-Cover sheet'!O1="O"),'Katalog-Catalogue'!G4,IF(AND($C$5="english",'Deckblatt-Cover sheet'!O1="P"),'Katalog-Catalogue'!H3,IF(AND($C$5="english",'Deckblatt-Cover sheet'!O1="O"),'Katalog-Catalogue'!H4,IF(AND($C$5="chinese",'Deckblatt-Cover sheet'!O1="O"),'Katalog-Catalogue'!J4,IF(AND($C$5="chinese",'Deckblatt-Cover sheet'!O1="P"),'Katalog-Catalogue'!J3,""))))))</f>
        <v/>
      </c>
      <c r="J3" s="266"/>
      <c r="K3" s="266"/>
      <c r="L3" s="266"/>
      <c r="M3" s="266"/>
      <c r="N3" s="266"/>
      <c r="O3" s="264"/>
      <c r="P3" s="1"/>
      <c r="Q3" s="1"/>
    </row>
    <row r="4" spans="1:17" ht="3.75" customHeight="1" thickBot="1">
      <c r="A4" s="2"/>
      <c r="B4" s="3"/>
      <c r="C4" s="3"/>
      <c r="D4" s="3"/>
      <c r="E4" s="3"/>
      <c r="F4" s="3"/>
      <c r="G4" s="4"/>
      <c r="H4" s="3"/>
      <c r="I4" s="3"/>
      <c r="J4" s="5"/>
      <c r="K4" s="5"/>
      <c r="L4" s="5"/>
      <c r="M4" s="5"/>
      <c r="N4" s="5"/>
      <c r="O4" s="6"/>
      <c r="P4" s="1"/>
      <c r="Q4" s="1"/>
    </row>
    <row r="5" spans="1:17" ht="18" thickBot="1">
      <c r="A5" s="267" t="str">
        <f>HLOOKUP(C5,'Katalog-Catalogue'!$A$2:$D$75,5,FALSE)</f>
        <v>Test report</v>
      </c>
      <c r="B5" s="268"/>
      <c r="C5" s="91" t="s">
        <v>8</v>
      </c>
      <c r="D5" s="91" t="str">
        <f>HLOOKUP(C5,'Katalog-Catalogue'!$A$2:$D$75,8,FALSE)</f>
        <v>for</v>
      </c>
      <c r="E5" s="92"/>
      <c r="F5" s="269"/>
      <c r="G5" s="270"/>
      <c r="H5" s="270"/>
      <c r="I5" s="271" t="str">
        <f>HLOOKUP(C5,'Katalog-Catalogue'!$A$2:$D$75,9,FALSE)</f>
        <v>fischer article no.</v>
      </c>
      <c r="J5" s="272"/>
      <c r="K5" s="272"/>
      <c r="L5" s="272"/>
      <c r="M5" s="273"/>
      <c r="N5" s="274"/>
      <c r="O5" s="275"/>
      <c r="P5" s="1"/>
      <c r="Q5" s="1"/>
    </row>
    <row r="6" spans="1:17" ht="4.5" customHeight="1" thickBot="1">
      <c r="A6" s="7"/>
      <c r="B6" s="8"/>
      <c r="C6" s="8"/>
      <c r="D6" s="8"/>
      <c r="E6" s="8"/>
      <c r="F6" s="8"/>
      <c r="G6" s="8"/>
      <c r="H6" s="8"/>
      <c r="I6" s="12"/>
      <c r="J6" s="12"/>
      <c r="K6" s="12"/>
      <c r="L6" s="12"/>
      <c r="M6" s="12"/>
      <c r="N6" s="12"/>
      <c r="O6" s="9"/>
      <c r="P6" s="1"/>
      <c r="Q6" s="1"/>
    </row>
    <row r="7" spans="1:17" ht="14.25" thickBot="1">
      <c r="A7" s="10" t="str">
        <f>HLOOKUP(C5,'Katalog-Catalogue'!$A$2:$D$75,13,FALSE)</f>
        <v>Supplier</v>
      </c>
      <c r="B7" s="240"/>
      <c r="C7" s="241"/>
      <c r="D7" s="242"/>
      <c r="E7" s="11"/>
      <c r="F7" s="10" t="str">
        <f>HLOOKUP(C5,'Katalog-Catalogue'!$A$2:$D$75,4,FALSE)</f>
        <v>Customer:</v>
      </c>
      <c r="G7" s="243" t="s">
        <v>1</v>
      </c>
      <c r="H7" s="244"/>
      <c r="I7" s="12"/>
      <c r="J7" s="217" t="str">
        <f>HLOOKUP(C5,'Katalog-Catalogue'!$A$2:$D$75,44,FALSE)</f>
        <v>Sampling reason</v>
      </c>
      <c r="K7" s="218"/>
      <c r="L7" s="218"/>
      <c r="M7" s="218"/>
      <c r="N7" s="218"/>
      <c r="O7" s="219"/>
      <c r="P7" s="1"/>
      <c r="Q7" s="1"/>
    </row>
    <row r="8" spans="1:17" ht="14.25" thickBot="1">
      <c r="A8" s="13" t="str">
        <f>HLOOKUP(C5,'Katalog-Catalogue'!$A$2:$D$75,15,FALSE)</f>
        <v>Address:</v>
      </c>
      <c r="B8" s="254"/>
      <c r="C8" s="255"/>
      <c r="D8" s="256"/>
      <c r="E8" s="11"/>
      <c r="F8" s="13" t="str">
        <f>HLOOKUP(C5,'Katalog-Catalogue'!$A$2:$D$75,15,FALSE)</f>
        <v>Address:</v>
      </c>
      <c r="G8" s="257"/>
      <c r="H8" s="258"/>
      <c r="I8" s="12"/>
      <c r="J8" s="12"/>
      <c r="K8" s="12"/>
      <c r="L8" s="12"/>
      <c r="M8" s="12"/>
      <c r="N8" s="12"/>
      <c r="O8" s="14"/>
      <c r="P8" s="1"/>
      <c r="Q8" s="1"/>
    </row>
    <row r="9" spans="1:17" ht="14.25" thickBot="1">
      <c r="A9" s="15"/>
      <c r="B9" s="254"/>
      <c r="C9" s="255"/>
      <c r="D9" s="256"/>
      <c r="E9" s="11"/>
      <c r="F9" s="15"/>
      <c r="G9" s="257" t="s">
        <v>2</v>
      </c>
      <c r="H9" s="258"/>
      <c r="I9" s="12"/>
      <c r="J9" s="16"/>
      <c r="K9" s="12"/>
      <c r="L9" s="173" t="str">
        <f>HLOOKUP(C5,'Katalog-Catalogue'!$A$2:$D$75,24,FALSE)</f>
        <v>First-Off</v>
      </c>
      <c r="M9" s="173"/>
      <c r="N9" s="173"/>
      <c r="O9" s="174"/>
      <c r="P9" s="1"/>
      <c r="Q9" s="1"/>
    </row>
    <row r="10" spans="1:17" ht="14.25" thickBot="1">
      <c r="A10" s="17"/>
      <c r="B10" s="245"/>
      <c r="C10" s="246"/>
      <c r="D10" s="247"/>
      <c r="E10" s="11"/>
      <c r="F10" s="17"/>
      <c r="G10" s="248" t="s">
        <v>3</v>
      </c>
      <c r="H10" s="249"/>
      <c r="I10" s="12"/>
      <c r="J10" s="16"/>
      <c r="K10" s="12"/>
      <c r="L10" s="126" t="str">
        <f>HLOOKUP(C5,'Katalog-Catalogue'!$A$2:$D$75,28,FALSE)</f>
        <v>Re-sampling</v>
      </c>
      <c r="M10" s="126"/>
      <c r="N10" s="126"/>
      <c r="O10" s="127"/>
      <c r="P10" s="1"/>
      <c r="Q10" s="1"/>
    </row>
    <row r="11" spans="1:17" ht="14.25" thickBot="1">
      <c r="A11" s="18"/>
      <c r="B11" s="12"/>
      <c r="C11" s="12"/>
      <c r="D11" s="12"/>
      <c r="E11" s="12"/>
      <c r="F11" s="12"/>
      <c r="G11" s="12"/>
      <c r="H11" s="12"/>
      <c r="I11" s="12"/>
      <c r="J11" s="16"/>
      <c r="K11" s="12"/>
      <c r="L11" s="126" t="str">
        <f>HLOOKUP(C5,'Katalog-Catalogue'!$A$2:$D$75,71,FALSE)</f>
        <v>Cover sheet sampling</v>
      </c>
      <c r="M11" s="126"/>
      <c r="N11" s="126"/>
      <c r="O11" s="127"/>
      <c r="P11" s="1"/>
      <c r="Q11" s="1"/>
    </row>
    <row r="12" spans="1:17" ht="14.25" thickBot="1">
      <c r="A12" s="250" t="str">
        <f>HLOOKUP(C5,'Katalog-Catalogue'!$A$2:$D$75,11,FALSE)</f>
        <v>Order-/project no.</v>
      </c>
      <c r="B12" s="251"/>
      <c r="C12" s="252"/>
      <c r="D12" s="253"/>
      <c r="E12" s="11"/>
      <c r="F12" s="194" t="str">
        <f>HLOOKUP(C5,'Katalog-Catalogue'!$A$2:$D$75,66,FALSE)</f>
        <v>Confirmation customer</v>
      </c>
      <c r="G12" s="195"/>
      <c r="H12" s="196"/>
      <c r="I12" s="12"/>
      <c r="J12" s="16"/>
      <c r="K12" s="12"/>
      <c r="L12" s="126" t="str">
        <f>HLOOKUP(C5,'Katalog-Catalogue'!$A$2:$D$75,40,FALSE)</f>
        <v>Product modification</v>
      </c>
      <c r="M12" s="126"/>
      <c r="N12" s="126"/>
      <c r="O12" s="127"/>
      <c r="P12" s="1"/>
      <c r="Q12" s="1"/>
    </row>
    <row r="13" spans="1:17" ht="14.25" thickBot="1">
      <c r="A13" s="220" t="str">
        <f>HLOOKUP(C5,'Katalog-Catalogue'!$A$2:$D$75,22,FALSE)</f>
        <v>(Raw) Material</v>
      </c>
      <c r="B13" s="221"/>
      <c r="C13" s="236"/>
      <c r="D13" s="237"/>
      <c r="E13" s="11"/>
      <c r="F13" s="19" t="str">
        <f>HLOOKUP(C5,'Katalog-Catalogue'!$A$2:$D$75,7,FALSE)</f>
        <v>Dept.:</v>
      </c>
      <c r="G13" s="238" t="str">
        <f>HLOOKUP(C5,'Katalog-Catalogue'!$A$2:$D$75,6,FALSE)</f>
        <v>Name:</v>
      </c>
      <c r="H13" s="239"/>
      <c r="I13" s="12"/>
      <c r="J13" s="16"/>
      <c r="K13" s="12"/>
      <c r="L13" s="126" t="str">
        <f>HLOOKUP(C5,'Katalog-Catalogue'!$A$2:$D$75,41,FALSE)</f>
        <v>Production relocation</v>
      </c>
      <c r="M13" s="126"/>
      <c r="N13" s="126"/>
      <c r="O13" s="127"/>
      <c r="P13" s="1"/>
      <c r="Q13" s="1"/>
    </row>
    <row r="14" spans="1:17" ht="14.25" thickBot="1">
      <c r="A14" s="220" t="str">
        <f>HLOOKUP(C5,'Katalog-Catalogue'!$A$2:$D$75,20,FALSE)</f>
        <v>Date of delivery</v>
      </c>
      <c r="B14" s="221"/>
      <c r="C14" s="234"/>
      <c r="D14" s="235"/>
      <c r="E14" s="11"/>
      <c r="F14" s="20"/>
      <c r="G14" s="224"/>
      <c r="H14" s="225"/>
      <c r="I14" s="12"/>
      <c r="J14" s="16"/>
      <c r="K14" s="12"/>
      <c r="L14" s="126" t="str">
        <f>HLOOKUP(C5,'Katalog-Catalogue'!$A$2:$D$75,45,FALSE)</f>
        <v>Modification of the production process</v>
      </c>
      <c r="M14" s="126"/>
      <c r="N14" s="126"/>
      <c r="O14" s="127"/>
      <c r="P14" s="1"/>
      <c r="Q14" s="1"/>
    </row>
    <row r="15" spans="1:17" ht="14.25" thickBot="1">
      <c r="A15" s="220" t="str">
        <f>HLOOKUP(C5,'Katalog-Catalogue'!$A$2:$D$75,21,FALSE)</f>
        <v>Number samples</v>
      </c>
      <c r="B15" s="221"/>
      <c r="C15" s="226"/>
      <c r="D15" s="227"/>
      <c r="E15" s="11"/>
      <c r="F15" s="20"/>
      <c r="G15" s="224"/>
      <c r="H15" s="225"/>
      <c r="I15" s="12"/>
      <c r="J15" s="16"/>
      <c r="K15" s="12"/>
      <c r="L15" s="173" t="str">
        <f>HLOOKUP(C5,'Katalog-Catalogue'!$A$2:$D$75,48,FALSE)</f>
        <v>Longer interruption the production</v>
      </c>
      <c r="M15" s="173"/>
      <c r="N15" s="173"/>
      <c r="O15" s="174"/>
      <c r="P15" s="1"/>
      <c r="Q15" s="1"/>
    </row>
    <row r="16" spans="1:17" ht="14.25" thickBot="1">
      <c r="A16" s="220" t="str">
        <f>HLOOKUP(C5,'Katalog-Catalogue'!$A$2:$D$75,27,FALSE)</f>
        <v>Number tested</v>
      </c>
      <c r="B16" s="221"/>
      <c r="C16" s="226"/>
      <c r="D16" s="227"/>
      <c r="E16" s="11"/>
      <c r="F16" s="20"/>
      <c r="G16" s="224"/>
      <c r="H16" s="225"/>
      <c r="I16" s="12"/>
      <c r="J16" s="16"/>
      <c r="K16" s="12"/>
      <c r="L16" s="173" t="str">
        <f>HLOOKUP(C5,'Katalog-Catalogue'!$A$2:$D$75,52,FALSE)</f>
        <v>New sub-supplier</v>
      </c>
      <c r="M16" s="173"/>
      <c r="N16" s="173"/>
      <c r="O16" s="174"/>
      <c r="P16" s="1"/>
      <c r="Q16" s="1"/>
    </row>
    <row r="17" spans="1:17" ht="14.25" thickBot="1">
      <c r="A17" s="220" t="str">
        <f>HLOOKUP(C5,'Katalog-Catalogue'!$A$2:$D$75,17,FALSE)</f>
        <v>Drawing no.</v>
      </c>
      <c r="B17" s="221"/>
      <c r="C17" s="226"/>
      <c r="D17" s="227"/>
      <c r="E17" s="11"/>
      <c r="F17" s="20"/>
      <c r="G17" s="224"/>
      <c r="H17" s="225"/>
      <c r="I17" s="12"/>
      <c r="J17" s="16"/>
      <c r="K17" s="12"/>
      <c r="L17" s="173" t="str">
        <f>HLOOKUP(C5,'Katalog-Catalogue'!$A$2:$D$75,25,FALSE)</f>
        <v>Dimensional report</v>
      </c>
      <c r="M17" s="173"/>
      <c r="N17" s="173"/>
      <c r="O17" s="174"/>
      <c r="P17" s="1"/>
      <c r="Q17" s="1"/>
    </row>
    <row r="18" spans="1:17" ht="14.25" thickBot="1">
      <c r="A18" s="220" t="str">
        <f>HLOOKUP(C5,'Katalog-Catalogue'!$A$2:$D$75,12,FALSE)</f>
        <v>Drawing index/date</v>
      </c>
      <c r="B18" s="221"/>
      <c r="C18" s="234"/>
      <c r="D18" s="227"/>
      <c r="E18" s="11"/>
      <c r="F18" s="20"/>
      <c r="G18" s="224"/>
      <c r="H18" s="225"/>
      <c r="I18" s="12"/>
      <c r="J18" s="12"/>
      <c r="K18" s="12"/>
      <c r="L18" s="12"/>
      <c r="M18" s="12"/>
      <c r="N18" s="12"/>
      <c r="O18" s="14"/>
      <c r="P18" s="1"/>
      <c r="Q18" s="1"/>
    </row>
    <row r="19" spans="1:17" ht="14.25" thickBot="1">
      <c r="A19" s="220" t="str">
        <f>HLOOKUP(C5,'Katalog-Catalogue'!$A$2:$D$75,26,FALSE)</f>
        <v>Status in SAP-PLM</v>
      </c>
      <c r="B19" s="221"/>
      <c r="C19" s="226"/>
      <c r="D19" s="227"/>
      <c r="E19" s="11"/>
      <c r="F19" s="20"/>
      <c r="G19" s="224"/>
      <c r="H19" s="225"/>
      <c r="I19" s="12"/>
      <c r="J19" s="217" t="str">
        <f>HLOOKUP(C5,'Katalog-Catalogue'!$A$2:$D$75,61,FALSE)</f>
        <v>Attachment</v>
      </c>
      <c r="K19" s="218"/>
      <c r="L19" s="218"/>
      <c r="M19" s="218"/>
      <c r="N19" s="218"/>
      <c r="O19" s="219"/>
      <c r="P19" s="1"/>
      <c r="Q19" s="1"/>
    </row>
    <row r="20" spans="1:17" ht="14.25" thickBot="1">
      <c r="A20" s="220" t="str">
        <f>HLOOKUP(C5,'Katalog-Catalogue'!$A$2:$D$75,53,FALSE)</f>
        <v>Toolnumber</v>
      </c>
      <c r="B20" s="221"/>
      <c r="C20" s="222"/>
      <c r="D20" s="223"/>
      <c r="E20" s="11"/>
      <c r="F20" s="20"/>
      <c r="G20" s="224" t="s">
        <v>4</v>
      </c>
      <c r="H20" s="225"/>
      <c r="I20" s="12"/>
      <c r="J20" s="12"/>
      <c r="K20" s="12"/>
      <c r="L20" s="12"/>
      <c r="M20" s="12"/>
      <c r="N20" s="12"/>
      <c r="O20" s="14"/>
      <c r="P20" s="1"/>
      <c r="Q20" s="1"/>
    </row>
    <row r="21" spans="1:17" ht="14.25" thickBot="1">
      <c r="A21" s="220" t="str">
        <f>HLOOKUP(C5,'Katalog-Catalogue'!$A$2:$D$75,54,FALSE)</f>
        <v>Subjectnumber</v>
      </c>
      <c r="B21" s="221"/>
      <c r="C21" s="226"/>
      <c r="D21" s="227"/>
      <c r="E21" s="11"/>
      <c r="F21" s="20"/>
      <c r="G21" s="224"/>
      <c r="H21" s="225"/>
      <c r="I21" s="12"/>
      <c r="J21" s="16"/>
      <c r="K21" s="12"/>
      <c r="L21" s="173" t="str">
        <f>HLOOKUP(C5,'Katalog-Catalogue'!$A$2:$D$75,42,FALSE)</f>
        <v>Maßbericht-Dimension report</v>
      </c>
      <c r="M21" s="173"/>
      <c r="N21" s="173"/>
      <c r="O21" s="174"/>
      <c r="P21" s="1"/>
      <c r="Q21" s="1"/>
    </row>
    <row r="22" spans="1:17" ht="14.25" thickBot="1">
      <c r="A22" s="228" t="str">
        <f>HLOOKUP(C5,'Katalog-Catalogue'!$A$2:$D$75,16,FALSE)</f>
        <v>Sampletest supplier</v>
      </c>
      <c r="B22" s="229"/>
      <c r="C22" s="230"/>
      <c r="D22" s="231"/>
      <c r="E22" s="21"/>
      <c r="F22" s="22"/>
      <c r="G22" s="232"/>
      <c r="H22" s="233"/>
      <c r="I22" s="12"/>
      <c r="J22" s="16"/>
      <c r="K22" s="12"/>
      <c r="L22" s="173" t="str">
        <f>HLOOKUP(C5,'Katalog-Catalogue'!$A$2:$D$75,55,FALSE)</f>
        <v>Überprüfung-Review fischer</v>
      </c>
      <c r="M22" s="173"/>
      <c r="N22" s="173"/>
      <c r="O22" s="174"/>
      <c r="P22" s="1"/>
      <c r="Q22" s="1"/>
    </row>
    <row r="23" spans="1:17" ht="14.25" thickBot="1">
      <c r="A23" s="18"/>
      <c r="B23" s="12"/>
      <c r="C23" s="12"/>
      <c r="D23" s="12"/>
      <c r="E23" s="12"/>
      <c r="F23" s="12"/>
      <c r="G23" s="12"/>
      <c r="H23" s="12"/>
      <c r="I23" s="12"/>
      <c r="J23" s="16"/>
      <c r="K23" s="12"/>
      <c r="L23" s="173" t="str">
        <f>HLOOKUP(C5,'Katalog-Catalogue'!$A$2:$D$75,56,FALSE)</f>
        <v>Drawing</v>
      </c>
      <c r="M23" s="173"/>
      <c r="N23" s="173"/>
      <c r="O23" s="174"/>
      <c r="P23" s="1"/>
      <c r="Q23" s="1"/>
    </row>
    <row r="24" spans="1:17" ht="14.25" thickBot="1">
      <c r="A24" s="217" t="str">
        <f>HLOOKUP(C5,'Katalog-Catalogue'!$A$2:$D$75,67,FALSE)</f>
        <v>Confirmation supplier (only extern)</v>
      </c>
      <c r="B24" s="218"/>
      <c r="C24" s="218"/>
      <c r="D24" s="219"/>
      <c r="E24" s="1"/>
      <c r="F24" s="217" t="str">
        <f>HLOOKUP(C5,'Katalog-Catalogue'!$A$2:$D$75,66,FALSE)</f>
        <v>Confirmation customer</v>
      </c>
      <c r="G24" s="218"/>
      <c r="H24" s="219"/>
      <c r="I24" s="12"/>
      <c r="J24" s="16"/>
      <c r="K24" s="12"/>
      <c r="L24" s="173" t="str">
        <f>HLOOKUP(C5,'Katalog-Catalogue'!$A$2:$D$75,57,FALSE)</f>
        <v>Material test</v>
      </c>
      <c r="M24" s="173"/>
      <c r="N24" s="173"/>
      <c r="O24" s="174"/>
      <c r="P24" s="1"/>
      <c r="Q24" s="1"/>
    </row>
    <row r="25" spans="1:17" ht="14.25" thickBot="1">
      <c r="A25" s="10" t="str">
        <f>HLOOKUP(C5,'Katalog-Catalogue'!$A$2:$D$75,6,FALSE)</f>
        <v>Name:</v>
      </c>
      <c r="B25" s="212"/>
      <c r="C25" s="213"/>
      <c r="D25" s="214"/>
      <c r="E25" s="1"/>
      <c r="F25" s="10" t="str">
        <f>HLOOKUP(C5,'Katalog-Catalogue'!$A$2:$D$75,6,FALSE)</f>
        <v>Name:</v>
      </c>
      <c r="G25" s="215"/>
      <c r="H25" s="216"/>
      <c r="I25" s="12"/>
      <c r="J25" s="16"/>
      <c r="K25" s="12"/>
      <c r="L25" s="173" t="str">
        <f>HLOOKUP(C5,'Katalog-Catalogue'!$A$2:$D$75,72,FALSE)</f>
        <v>Product data sheet</v>
      </c>
      <c r="M25" s="173"/>
      <c r="N25" s="173"/>
      <c r="O25" s="174"/>
      <c r="P25" s="1"/>
      <c r="Q25" s="1"/>
    </row>
    <row r="26" spans="1:17" ht="14.25" thickBot="1">
      <c r="A26" s="23" t="str">
        <f>HLOOKUP(C5,'Katalog-Catalogue'!$A$2:$D$75,7,FALSE)</f>
        <v>Dept.:</v>
      </c>
      <c r="B26" s="168"/>
      <c r="C26" s="169"/>
      <c r="D26" s="170"/>
      <c r="E26" s="1"/>
      <c r="F26" s="23" t="str">
        <f>HLOOKUP(C5,'Katalog-Catalogue'!$A$2:$D$75,7,FALSE)</f>
        <v>Dept.:</v>
      </c>
      <c r="G26" s="171"/>
      <c r="H26" s="172"/>
      <c r="I26" s="12"/>
      <c r="J26" s="16"/>
      <c r="K26" s="12"/>
      <c r="L26" s="173" t="str">
        <f>HLOOKUP(C5,'Katalog-Catalogue'!$A$2:$D$75,58,FALSE)</f>
        <v>Proof of process qualification</v>
      </c>
      <c r="M26" s="173"/>
      <c r="N26" s="173"/>
      <c r="O26" s="174"/>
      <c r="P26" s="1"/>
      <c r="Q26" s="1"/>
    </row>
    <row r="27" spans="1:17" ht="14.25" thickBot="1">
      <c r="A27" s="23" t="str">
        <f>HLOOKUP(C5,'Katalog-Catalogue'!$A$2:$D$75,63,FALSE)</f>
        <v>Phone:</v>
      </c>
      <c r="B27" s="168"/>
      <c r="C27" s="169"/>
      <c r="D27" s="170"/>
      <c r="E27" s="1"/>
      <c r="F27" s="23" t="str">
        <f>HLOOKUP(C5,'Katalog-Catalogue'!$A$2:$D$75,63,FALSE)</f>
        <v>Phone:</v>
      </c>
      <c r="G27" s="171"/>
      <c r="H27" s="172"/>
      <c r="I27" s="12"/>
      <c r="J27" s="16"/>
      <c r="K27" s="12"/>
      <c r="L27" s="173" t="str">
        <f>HLOOKUP(C5,'Katalog-Catalogue'!$A$2:$D$75,59,FALSE)</f>
        <v>Proof of test equipment qualification</v>
      </c>
      <c r="M27" s="173"/>
      <c r="N27" s="173"/>
      <c r="O27" s="174"/>
      <c r="P27" s="1"/>
      <c r="Q27" s="1"/>
    </row>
    <row r="28" spans="1:17" ht="14.25" thickBot="1">
      <c r="A28" s="23" t="str">
        <f>HLOOKUP(C5,'Katalog-Catalogue'!$A$2:$D$75,62,FALSE)</f>
        <v>E-mail:</v>
      </c>
      <c r="B28" s="175"/>
      <c r="C28" s="176"/>
      <c r="D28" s="177"/>
      <c r="E28" s="1"/>
      <c r="F28" s="23" t="str">
        <f>HLOOKUP(C5,'Katalog-Catalogue'!$A$2:$D$75,62,FALSE)</f>
        <v>E-mail:</v>
      </c>
      <c r="G28" s="178"/>
      <c r="H28" s="172"/>
      <c r="I28" s="12"/>
      <c r="J28" s="16"/>
      <c r="K28" s="18"/>
      <c r="L28" s="173" t="str">
        <f>HLOOKUP(C5,'Katalog-Catalogue'!$A$2:$D$75,60,FALSE)</f>
        <v>Others (Information, …)</v>
      </c>
      <c r="M28" s="173"/>
      <c r="N28" s="173"/>
      <c r="O28" s="174"/>
      <c r="P28" s="1"/>
      <c r="Q28" s="1"/>
    </row>
    <row r="29" spans="1:17" ht="14.25" thickBot="1">
      <c r="A29" s="23" t="str">
        <f>HLOOKUP(C5,'Katalog-Catalogue'!$A$2:$D$75,29,FALSE)</f>
        <v>Date:</v>
      </c>
      <c r="B29" s="179"/>
      <c r="C29" s="176"/>
      <c r="D29" s="177"/>
      <c r="E29" s="1"/>
      <c r="F29" s="23" t="str">
        <f>HLOOKUP(C5,'Katalog-Catalogue'!$A$2:$D$75,29,FALSE)</f>
        <v>Date:</v>
      </c>
      <c r="G29" s="180"/>
      <c r="H29" s="181"/>
      <c r="I29" s="12"/>
      <c r="J29" s="24"/>
      <c r="K29" s="12"/>
      <c r="L29" s="12"/>
      <c r="M29" s="12"/>
      <c r="N29" s="12"/>
      <c r="O29" s="14"/>
      <c r="P29" s="1"/>
      <c r="Q29" s="1"/>
    </row>
    <row r="30" spans="1:17" ht="13.9">
      <c r="A30" s="182" t="s">
        <v>4</v>
      </c>
      <c r="B30" s="183"/>
      <c r="C30" s="183"/>
      <c r="D30" s="184"/>
      <c r="E30" s="1"/>
      <c r="F30" s="188"/>
      <c r="G30" s="189"/>
      <c r="H30" s="190"/>
      <c r="I30" s="12"/>
      <c r="J30" s="194" t="str">
        <f>HLOOKUP(C5,'Katalog-Catalogue'!$A$2:$D$75,36,FALSE)</f>
        <v>drawing notes</v>
      </c>
      <c r="K30" s="195"/>
      <c r="L30" s="195"/>
      <c r="M30" s="195"/>
      <c r="N30" s="195"/>
      <c r="O30" s="196"/>
      <c r="P30" s="1"/>
      <c r="Q30" s="1"/>
    </row>
    <row r="31" spans="1:17" ht="28.5" customHeight="1">
      <c r="A31" s="185"/>
      <c r="B31" s="186"/>
      <c r="C31" s="186"/>
      <c r="D31" s="187"/>
      <c r="E31" s="25"/>
      <c r="F31" s="191"/>
      <c r="G31" s="192"/>
      <c r="H31" s="193"/>
      <c r="I31" s="12"/>
      <c r="J31" s="197"/>
      <c r="K31" s="198"/>
      <c r="L31" s="198"/>
      <c r="M31" s="198"/>
      <c r="N31" s="198"/>
      <c r="O31" s="199"/>
      <c r="P31" s="1"/>
      <c r="Q31" s="1"/>
    </row>
    <row r="32" spans="1:17" ht="8.25" customHeight="1">
      <c r="A32" s="206" t="str">
        <f>HLOOKUP(C5,'Katalog-Catalogue'!$A$2:$D$75,64,FALSE)</f>
        <v>Signature</v>
      </c>
      <c r="B32" s="207"/>
      <c r="C32" s="207"/>
      <c r="D32" s="208"/>
      <c r="E32" s="25"/>
      <c r="F32" s="206" t="str">
        <f>HLOOKUP(C5,'Katalog-Catalogue'!$A$2:$D$75,64,FALSE)</f>
        <v>Signature</v>
      </c>
      <c r="G32" s="207"/>
      <c r="H32" s="208"/>
      <c r="I32" s="12"/>
      <c r="J32" s="200"/>
      <c r="K32" s="201"/>
      <c r="L32" s="201"/>
      <c r="M32" s="201"/>
      <c r="N32" s="201"/>
      <c r="O32" s="202"/>
      <c r="P32" s="1"/>
      <c r="Q32" s="1"/>
    </row>
    <row r="33" spans="1:17" ht="15" customHeight="1" thickBot="1">
      <c r="A33" s="209"/>
      <c r="B33" s="210"/>
      <c r="C33" s="210"/>
      <c r="D33" s="211"/>
      <c r="E33" s="26"/>
      <c r="F33" s="209"/>
      <c r="G33" s="210"/>
      <c r="H33" s="211"/>
      <c r="I33" s="27"/>
      <c r="J33" s="203"/>
      <c r="K33" s="204"/>
      <c r="L33" s="204"/>
      <c r="M33" s="204"/>
      <c r="N33" s="204"/>
      <c r="O33" s="205"/>
      <c r="P33" s="1"/>
      <c r="Q33" s="1"/>
    </row>
    <row r="34" spans="1:17" ht="6" customHeight="1" thickBot="1">
      <c r="A34" s="28"/>
      <c r="B34" s="29"/>
      <c r="C34" s="29"/>
      <c r="D34" s="30"/>
      <c r="E34" s="30"/>
      <c r="F34" s="29"/>
      <c r="G34" s="31"/>
      <c r="H34" s="32"/>
      <c r="I34" s="32"/>
      <c r="J34" s="32"/>
      <c r="K34" s="32"/>
      <c r="L34" s="32"/>
      <c r="M34" s="32"/>
      <c r="N34" s="32"/>
      <c r="O34" s="33"/>
      <c r="P34" s="1"/>
      <c r="Q34" s="1"/>
    </row>
  </sheetData>
  <mergeCells count="81">
    <mergeCell ref="I1:N2"/>
    <mergeCell ref="O1:O3"/>
    <mergeCell ref="I3:N3"/>
    <mergeCell ref="A5:B5"/>
    <mergeCell ref="F5:H5"/>
    <mergeCell ref="I5:M5"/>
    <mergeCell ref="N5:O5"/>
    <mergeCell ref="A1:E2"/>
    <mergeCell ref="J7:O7"/>
    <mergeCell ref="B8:D8"/>
    <mergeCell ref="G8:H8"/>
    <mergeCell ref="B9:D9"/>
    <mergeCell ref="G9:H9"/>
    <mergeCell ref="L9:O9"/>
    <mergeCell ref="A13:B13"/>
    <mergeCell ref="C13:D13"/>
    <mergeCell ref="G13:H13"/>
    <mergeCell ref="B7:D7"/>
    <mergeCell ref="G7:H7"/>
    <mergeCell ref="B10:D10"/>
    <mergeCell ref="G10:H10"/>
    <mergeCell ref="A12:B12"/>
    <mergeCell ref="C12:D12"/>
    <mergeCell ref="F12:H12"/>
    <mergeCell ref="A17:B17"/>
    <mergeCell ref="C17:D17"/>
    <mergeCell ref="G17:H17"/>
    <mergeCell ref="L17:O17"/>
    <mergeCell ref="A14:B14"/>
    <mergeCell ref="C14:D14"/>
    <mergeCell ref="G14:H14"/>
    <mergeCell ref="A15:B15"/>
    <mergeCell ref="C15:D15"/>
    <mergeCell ref="G15:H15"/>
    <mergeCell ref="L15:O15"/>
    <mergeCell ref="A16:B16"/>
    <mergeCell ref="C16:D16"/>
    <mergeCell ref="G16:H16"/>
    <mergeCell ref="L16:O16"/>
    <mergeCell ref="A18:B18"/>
    <mergeCell ref="C18:D18"/>
    <mergeCell ref="G18:H18"/>
    <mergeCell ref="A19:B19"/>
    <mergeCell ref="C19:D19"/>
    <mergeCell ref="G19:H19"/>
    <mergeCell ref="A24:D24"/>
    <mergeCell ref="F24:H24"/>
    <mergeCell ref="L24:O24"/>
    <mergeCell ref="J19:O19"/>
    <mergeCell ref="A20:B20"/>
    <mergeCell ref="C20:D20"/>
    <mergeCell ref="G20:H20"/>
    <mergeCell ref="A21:B21"/>
    <mergeCell ref="C21:D21"/>
    <mergeCell ref="G21:H21"/>
    <mergeCell ref="L21:O21"/>
    <mergeCell ref="A22:B22"/>
    <mergeCell ref="C22:D22"/>
    <mergeCell ref="G22:H22"/>
    <mergeCell ref="L22:O22"/>
    <mergeCell ref="L23:O23"/>
    <mergeCell ref="B25:D25"/>
    <mergeCell ref="G25:H25"/>
    <mergeCell ref="L25:O25"/>
    <mergeCell ref="B26:D26"/>
    <mergeCell ref="G26:H26"/>
    <mergeCell ref="L26:O26"/>
    <mergeCell ref="B29:D29"/>
    <mergeCell ref="G29:H29"/>
    <mergeCell ref="A30:D31"/>
    <mergeCell ref="F30:H31"/>
    <mergeCell ref="J30:O30"/>
    <mergeCell ref="J31:O33"/>
    <mergeCell ref="A32:D33"/>
    <mergeCell ref="F32:H33"/>
    <mergeCell ref="B27:D27"/>
    <mergeCell ref="G27:H27"/>
    <mergeCell ref="L27:O27"/>
    <mergeCell ref="B28:D28"/>
    <mergeCell ref="G28:H28"/>
    <mergeCell ref="L28:O28"/>
  </mergeCells>
  <phoneticPr fontId="33" type="noConversion"/>
  <conditionalFormatting sqref="O1">
    <cfRule type="containsText" dxfId="80" priority="10" stopIfTrue="1" operator="containsText" text="O">
      <formula>NOT(ISERROR(SEARCH("O",O1)))</formula>
    </cfRule>
    <cfRule type="containsText" dxfId="79" priority="11" stopIfTrue="1" operator="containsText" text="P">
      <formula>NOT(ISERROR(SEARCH("P",O1)))</formula>
    </cfRule>
  </conditionalFormatting>
  <dataValidations count="2">
    <dataValidation errorStyle="information" operator="equal" allowBlank="1" showInputMessage="1" showErrorMessage="1" errorTitle="8-stellig" error="die Zeichnungsnummer ist 8-stellig" sqref="C17:D17" xr:uid="{BBCF1E0C-FF5C-45F6-8F3F-2735AD054F9D}"/>
    <dataValidation type="list" allowBlank="1" showInputMessage="1" showErrorMessage="1" sqref="E19" xr:uid="{7339EF9A-B0FC-4541-8072-3467BDDCFC69}">
      <formula1>SAP_PLM</formula1>
    </dataValidation>
  </dataValidations>
  <pageMargins left="0.7" right="0.7" top="0.78740157499999996" bottom="0.78740157499999996" header="0.3" footer="0.3"/>
  <pageSetup paperSize="9" scale="61" orientation="portrait" verticalDpi="598" r:id="rId1"/>
  <colBreaks count="1" manualBreakCount="1">
    <brk id="15"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 operator="containsText" id="{B7117248-39F7-4EB6-A134-60CC1FDC9800}">
            <xm:f>NOT(ISERROR(SEARCH('Katalog-Catalogue'!$J$3,C5)))</xm:f>
            <xm:f>'Katalog-Catalogue'!$J$3</xm:f>
            <x14:dxf>
              <font>
                <color rgb="FF66FF33"/>
              </font>
            </x14:dxf>
          </x14:cfRule>
          <xm:sqref>C5</xm:sqref>
        </x14:conditionalFormatting>
        <x14:conditionalFormatting xmlns:xm="http://schemas.microsoft.com/office/excel/2006/main">
          <x14:cfRule type="containsText" priority="26" operator="containsText" id="{EB0DD23F-03B2-4A34-BF75-732D81E0AFF3}">
            <xm:f>NOT(ISERROR(SEARCH('Katalog-Catalogue'!$J$4,I3)))</xm:f>
            <xm:f>'Katalog-Catalogue'!$J$4</xm:f>
            <x14:dxf>
              <font>
                <b/>
                <i val="0"/>
                <color rgb="FFFF0000"/>
              </font>
            </x14:dxf>
          </x14:cfRule>
          <x14:cfRule type="containsText" priority="27" operator="containsText" id="{C21E4314-43BC-47B2-A9A1-54D2479C361C}">
            <xm:f>NOT(ISERROR(SEARCH('Katalog-Catalogue'!$J$3,I3)))</xm:f>
            <xm:f>'Katalog-Catalogue'!$J$3</xm:f>
            <x14:dxf>
              <font>
                <b/>
                <i val="0"/>
                <color rgb="FF66FF33"/>
              </font>
            </x14:dxf>
          </x14:cfRule>
          <x14:cfRule type="cellIs" priority="28" operator="equal" id="{0987367F-BBD3-44FB-A782-53B50BB5B720}">
            <xm:f>'Katalog-Catalogue'!$H$4</xm:f>
            <x14:dxf>
              <font>
                <b/>
                <i val="0"/>
                <color rgb="FFFF0000"/>
              </font>
            </x14:dxf>
          </x14:cfRule>
          <x14:cfRule type="cellIs" priority="29" operator="equal" id="{60BBFE26-B86C-4F0B-B303-952D2F9335A8}">
            <xm:f>'Katalog-Catalogue'!$G$4</xm:f>
            <x14:dxf>
              <font>
                <b/>
                <i val="0"/>
                <color rgb="FFFF0000"/>
              </font>
            </x14:dxf>
          </x14:cfRule>
          <x14:cfRule type="cellIs" priority="30" operator="equal" id="{9769756B-D6BE-4760-BF8E-DA4521F3C719}">
            <xm:f>'Katalog-Catalogue'!$H$3</xm:f>
            <x14:dxf>
              <font>
                <b/>
                <i val="0"/>
                <color rgb="FF66FF33"/>
              </font>
            </x14:dxf>
          </x14:cfRule>
          <x14:cfRule type="cellIs" priority="31" operator="equal" id="{DB59D205-DCDD-42EC-8879-C34F5A5C6A81}">
            <xm:f>'Katalog-Catalogue'!$G$3</xm:f>
            <x14:dxf>
              <font>
                <b/>
                <i val="0"/>
                <color rgb="FF66FF33"/>
              </font>
            </x14:dxf>
          </x14:cfRule>
          <xm:sqref>I3:N3</xm:sqref>
        </x14:conditionalFormatting>
      </x14:conditionalFormattings>
    </ext>
    <ext xmlns:x14="http://schemas.microsoft.com/office/spreadsheetml/2009/9/main" uri="{CCE6A557-97BC-4b89-ADB6-D9C93CAAB3DF}">
      <x14:dataValidations xmlns:xm="http://schemas.microsoft.com/office/excel/2006/main" count="5">
        <x14:dataValidation type="list" showInputMessage="1" showErrorMessage="1" xr:uid="{4B80B40E-058B-4E6D-A1CC-8867421AFD01}">
          <x14:formula1>
            <xm:f>'Katalog-Catalogue'!$G$7</xm:f>
          </x14:formula1>
          <xm:sqref>J21:J28 J9:J17</xm:sqref>
        </x14:dataValidation>
        <x14:dataValidation type="list" allowBlank="1" showInputMessage="1" showErrorMessage="1" xr:uid="{DEB6CB49-30A0-4068-8410-08AD0AD879B8}">
          <x14:formula1>
            <xm:f>'Katalog-Catalogue'!$B$2:$D$2</xm:f>
          </x14:formula1>
          <xm:sqref>C5</xm:sqref>
        </x14:dataValidation>
        <x14:dataValidation type="list" xr:uid="{B1B49369-47CC-4EF6-94CA-AECBE5FA7A2B}">
          <x14:formula1>
            <xm:f>'Katalog-Catalogue'!$M$17:$M$43</xm:f>
          </x14:formula1>
          <xm:sqref>C19:D19</xm:sqref>
        </x14:dataValidation>
        <x14:dataValidation type="list" allowBlank="1" showInputMessage="1" showErrorMessage="1" prompt="Aus Pull-Down-Menü wählen:_x000a_P   Teile entsprechen der Zeichnung_x000a_O   Teile entsprechen nicht der Zeichnung_x000a__x000a_Choose from pull down menue:_x000a_P    Parts comply with drawing_x000a_O   Parts do not comply with drawing" xr:uid="{00BFFA6A-BCED-4894-B0FE-890368F8843B}">
          <x14:formula1>
            <xm:f>'Katalog-Catalogue'!$F$3:$F$4</xm:f>
          </x14:formula1>
          <xm:sqref>O1:O3</xm:sqref>
        </x14:dataValidation>
        <x14:dataValidation type="list" allowBlank="1" showInputMessage="1" showErrorMessage="1" xr:uid="{6B1DFC7A-B0C6-4AA1-96E9-1294F16A21AE}">
          <x14:formula1>
            <xm:f>'Katalog-Catalogue'!$M$6:$M$14</xm:f>
          </x14:formula1>
          <xm:sqref>C22:D22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7D277-F9A7-4B87-805E-3C8E9B74E207}">
  <dimension ref="A1:AD40"/>
  <sheetViews>
    <sheetView zoomScaleNormal="100" workbookViewId="0">
      <selection activeCell="U14" sqref="U14"/>
    </sheetView>
  </sheetViews>
  <sheetFormatPr baseColWidth="10" defaultColWidth="11.3984375" defaultRowHeight="12.75"/>
  <cols>
    <col min="1" max="1" width="7.3984375" customWidth="1"/>
    <col min="2" max="2" width="7.73046875" customWidth="1"/>
    <col min="4" max="4" width="7.3984375" customWidth="1"/>
    <col min="5" max="5" width="7.59765625" customWidth="1"/>
    <col min="6" max="6" width="4.59765625" customWidth="1"/>
    <col min="7" max="7" width="9" customWidth="1"/>
    <col min="8" max="8" width="7.73046875" customWidth="1"/>
    <col min="9" max="9" width="7.59765625" customWidth="1"/>
    <col min="10" max="10" width="10.86328125" customWidth="1"/>
    <col min="11" max="11" width="6.59765625" customWidth="1"/>
    <col min="12" max="12" width="7.59765625" customWidth="1"/>
    <col min="13" max="13" width="3.73046875" customWidth="1"/>
    <col min="14" max="15" width="7.73046875" customWidth="1"/>
    <col min="16" max="16" width="3.73046875" customWidth="1"/>
    <col min="17" max="17" width="7.73046875" customWidth="1"/>
    <col min="18" max="18" width="10" customWidth="1"/>
    <col min="19" max="19" width="6.3984375" hidden="1" customWidth="1"/>
    <col min="20" max="20" width="6.73046875" customWidth="1"/>
  </cols>
  <sheetData>
    <row r="1" spans="1:30" ht="24.75">
      <c r="A1" s="289" t="str">
        <f>'Deckblatt-Cover sheet'!A1</f>
        <v>Fixing systems</v>
      </c>
      <c r="B1" s="290"/>
      <c r="C1" s="290"/>
      <c r="D1" s="290"/>
      <c r="E1" s="290"/>
      <c r="F1" s="290"/>
      <c r="G1" s="290"/>
      <c r="H1" s="290"/>
      <c r="I1" s="290"/>
      <c r="J1" s="118"/>
      <c r="K1" s="118"/>
      <c r="L1" s="118"/>
      <c r="M1" s="118"/>
      <c r="N1" s="118"/>
      <c r="O1" s="118"/>
      <c r="P1" s="118"/>
      <c r="Q1" s="118"/>
      <c r="R1" s="119"/>
      <c r="S1" s="116"/>
      <c r="T1" s="120"/>
      <c r="U1" s="120"/>
      <c r="V1" s="120"/>
      <c r="W1" s="120"/>
      <c r="X1" s="120"/>
      <c r="Y1" s="120"/>
      <c r="Z1" s="120"/>
      <c r="AA1" s="120"/>
      <c r="AB1" s="120"/>
      <c r="AC1" s="120"/>
      <c r="AD1" s="120"/>
    </row>
    <row r="2" spans="1:30" ht="25.15" thickBot="1">
      <c r="A2" s="291"/>
      <c r="B2" s="292"/>
      <c r="C2" s="292"/>
      <c r="D2" s="292"/>
      <c r="E2" s="292"/>
      <c r="F2" s="292"/>
      <c r="G2" s="292"/>
      <c r="H2" s="292"/>
      <c r="I2" s="292"/>
      <c r="J2" s="139"/>
      <c r="K2" s="139"/>
      <c r="L2" s="139"/>
      <c r="M2" s="116"/>
      <c r="N2" s="116"/>
      <c r="O2" s="116"/>
      <c r="P2" s="116"/>
      <c r="Q2" s="116"/>
      <c r="R2" s="117"/>
      <c r="S2" s="116"/>
      <c r="T2" s="121"/>
      <c r="U2" s="121"/>
      <c r="V2" s="121"/>
      <c r="W2" s="121"/>
      <c r="X2" s="121"/>
      <c r="Y2" s="121"/>
      <c r="Z2" s="121"/>
      <c r="AA2" s="121"/>
      <c r="AB2" s="121"/>
      <c r="AC2" s="121"/>
      <c r="AD2" s="121"/>
    </row>
    <row r="3" spans="1:30" ht="18" thickBot="1">
      <c r="A3" s="280" t="str">
        <f>'Deckblatt-Cover sheet'!A5&amp;" "&amp;'Deckblatt-Cover sheet'!D5</f>
        <v>Test report for</v>
      </c>
      <c r="B3" s="281"/>
      <c r="C3" s="281"/>
      <c r="D3" s="281"/>
      <c r="E3" s="281"/>
      <c r="F3" s="282"/>
      <c r="G3" s="283">
        <f>'Deckblatt-Cover sheet'!F5</f>
        <v>0</v>
      </c>
      <c r="H3" s="284"/>
      <c r="I3" s="284"/>
      <c r="J3" s="284"/>
      <c r="K3" s="285"/>
      <c r="L3" s="280" t="str">
        <f>'Deckblatt-Cover sheet'!I5</f>
        <v>fischer article no.</v>
      </c>
      <c r="M3" s="281"/>
      <c r="N3" s="281"/>
      <c r="O3" s="282"/>
      <c r="P3" s="286">
        <f>'Deckblatt-Cover sheet'!N5</f>
        <v>0</v>
      </c>
      <c r="Q3" s="287"/>
      <c r="R3" s="288"/>
      <c r="S3" s="123"/>
      <c r="T3" s="121"/>
      <c r="U3" s="121"/>
      <c r="V3" s="121"/>
      <c r="W3" s="121"/>
      <c r="X3" s="121"/>
      <c r="Y3" s="121"/>
      <c r="Z3" s="121"/>
      <c r="AA3" s="121"/>
      <c r="AB3" s="121"/>
      <c r="AC3" s="121"/>
      <c r="AD3" s="121"/>
    </row>
    <row r="4" spans="1:30" ht="13.15">
      <c r="A4" s="308" t="str">
        <f>'Deckblatt-Cover sheet'!A17</f>
        <v>Drawing no.</v>
      </c>
      <c r="B4" s="309"/>
      <c r="C4" s="310">
        <f>'Deckblatt-Cover sheet'!C17</f>
        <v>0</v>
      </c>
      <c r="D4" s="310"/>
      <c r="E4" s="310"/>
      <c r="F4" s="302" t="str">
        <f>'Deckblatt-Cover sheet'!A18</f>
        <v>Drawing index/date</v>
      </c>
      <c r="G4" s="303"/>
      <c r="H4" s="311">
        <f>'Deckblatt-Cover sheet'!C18</f>
        <v>0</v>
      </c>
      <c r="I4" s="312"/>
      <c r="J4" s="296" t="str">
        <f>'Deckblatt-Cover sheet'!A7</f>
        <v>Supplier</v>
      </c>
      <c r="K4" s="298"/>
      <c r="L4" s="293">
        <f>'Deckblatt-Cover sheet'!B7</f>
        <v>0</v>
      </c>
      <c r="M4" s="294"/>
      <c r="N4" s="295"/>
      <c r="O4" s="296" t="str">
        <f>'Deckblatt-Cover sheet'!A12</f>
        <v>Order-/project no.</v>
      </c>
      <c r="P4" s="297"/>
      <c r="Q4" s="298"/>
      <c r="R4" s="160">
        <f>'Deckblatt-Cover sheet'!C12</f>
        <v>0</v>
      </c>
      <c r="S4" s="124"/>
      <c r="T4" s="121"/>
      <c r="U4" s="121"/>
      <c r="V4" s="121"/>
      <c r="W4" s="121"/>
      <c r="X4" s="121"/>
      <c r="Y4" s="121"/>
      <c r="Z4" s="121"/>
      <c r="AA4" s="121"/>
      <c r="AB4" s="121"/>
      <c r="AC4" s="121"/>
      <c r="AD4" s="121"/>
    </row>
    <row r="5" spans="1:30" ht="13.5" thickBot="1">
      <c r="A5" s="299" t="str">
        <f>HLOOKUP('Deckblatt-Cover sheet'!C5,'Katalog-Catalogue'!$A$2:$D$75,14,FALSE)</f>
        <v>Test by:</v>
      </c>
      <c r="B5" s="300"/>
      <c r="C5" s="301"/>
      <c r="D5" s="301"/>
      <c r="E5" s="301"/>
      <c r="F5" s="302" t="str">
        <f>HLOOKUP('Deckblatt-Cover sheet'!C5,'Katalog-Catalogue'!$A$2:$D$75,19,FALSE)</f>
        <v>Test date:</v>
      </c>
      <c r="G5" s="303"/>
      <c r="H5" s="304"/>
      <c r="I5" s="305"/>
      <c r="J5" s="296" t="str">
        <f>HLOOKUP('Deckblatt-Cover sheet'!C5,'Katalog-Catalogue'!$A$2:$D$75,23,FALSE)</f>
        <v>Checked by:</v>
      </c>
      <c r="K5" s="298"/>
      <c r="L5" s="306"/>
      <c r="M5" s="306"/>
      <c r="N5" s="307"/>
      <c r="O5" s="296" t="str">
        <f>HLOOKUP('Deckblatt-Cover sheet'!C5,'Katalog-Catalogue'!$A$2:$D$75,47,FALSE)</f>
        <v>Check date:</v>
      </c>
      <c r="P5" s="297"/>
      <c r="Q5" s="298"/>
      <c r="R5" s="161"/>
      <c r="S5" s="124"/>
      <c r="T5" s="122"/>
      <c r="U5" s="121"/>
      <c r="V5" s="121"/>
      <c r="W5" s="121"/>
      <c r="X5" s="121"/>
      <c r="Y5" s="121"/>
      <c r="Z5" s="121"/>
      <c r="AA5" s="121"/>
      <c r="AB5" s="121"/>
      <c r="AC5" s="121"/>
      <c r="AD5" s="121"/>
    </row>
    <row r="6" spans="1:30" ht="13.9">
      <c r="A6" s="313" t="str">
        <f>HLOOKUP('Deckblatt-Cover sheet'!C5,'Katalog-Catalogue'!$B$2:$D$75,34,FALSE)</f>
        <v>No.</v>
      </c>
      <c r="B6" s="315" t="str">
        <f>HLOOKUP('Deckblatt-Cover sheet'!C5,'Katalog-Catalogue'!$B$2:$D$75,30,FALSE)</f>
        <v>Test characteristic</v>
      </c>
      <c r="C6" s="316"/>
      <c r="D6" s="316"/>
      <c r="E6" s="317"/>
      <c r="F6" s="321" t="str">
        <f>HLOOKUP('Deckblatt-Cover sheet'!C5,'Katalog-Catalogue'!$B$2:$D$75,31,FALSE)</f>
        <v>Cat no.</v>
      </c>
      <c r="G6" s="315" t="str">
        <f>HLOOKUP('Deckblatt-Cover sheet'!C5,'Katalog-Catalogue'!$B$2:$D$75,36,FALSE)</f>
        <v>drawing notes</v>
      </c>
      <c r="H6" s="316"/>
      <c r="I6" s="316"/>
      <c r="J6" s="316"/>
      <c r="K6" s="316"/>
      <c r="L6" s="323" t="str">
        <f>HLOOKUP('Deckblatt-Cover sheet'!C5,'Katalog-Catalogue'!$B$2:$D$75,37,FALSE)</f>
        <v xml:space="preserve">Specified value </v>
      </c>
      <c r="M6" s="323"/>
      <c r="N6" s="323"/>
      <c r="O6" s="165"/>
      <c r="P6" s="164" t="str">
        <f>HLOOKUP('Deckblatt-Cover sheet'!C5,'Katalog-Catalogue'!$B$2:$D$75,38,FALSE)</f>
        <v xml:space="preserve">Actual values </v>
      </c>
      <c r="Q6" s="165"/>
      <c r="R6" s="332" t="str">
        <f>HLOOKUP('Deckblatt-Cover sheet'!C5,'Katalog-Catalogue'!$B$2:$D$75,39,FALSE)</f>
        <v>Result</v>
      </c>
      <c r="S6" s="144"/>
      <c r="T6" s="162" t="str">
        <f>HLOOKUP('Deckblatt-Cover sheet'!C5,'Katalog-Catalogue'!$B$2:$D$75,32,FALSE)</f>
        <v>Test</v>
      </c>
      <c r="U6" s="324" t="str">
        <f>P6</f>
        <v xml:space="preserve">Actual values </v>
      </c>
      <c r="V6" s="325"/>
      <c r="W6" s="325"/>
      <c r="X6" s="325"/>
      <c r="Y6" s="325"/>
      <c r="Z6" s="325"/>
      <c r="AA6" s="325"/>
      <c r="AB6" s="325"/>
      <c r="AC6" s="325"/>
      <c r="AD6" s="326"/>
    </row>
    <row r="7" spans="1:30" ht="13.5" thickBot="1">
      <c r="A7" s="314"/>
      <c r="B7" s="318"/>
      <c r="C7" s="319"/>
      <c r="D7" s="319"/>
      <c r="E7" s="320"/>
      <c r="F7" s="322"/>
      <c r="G7" s="318" t="str">
        <f>HLOOKUP('Deckblatt-Cover sheet'!C5,'Katalog-Catalogue'!$B$2:$D$75,51,FALSE)</f>
        <v>(Specified text)</v>
      </c>
      <c r="H7" s="319"/>
      <c r="I7" s="319"/>
      <c r="J7" s="319"/>
      <c r="K7" s="319"/>
      <c r="L7" s="145" t="str">
        <f>HLOOKUP('Deckblatt-Cover sheet'!C5,'Katalog-Catalogue'!$B$2:$D$75,73,FALSE)</f>
        <v>min</v>
      </c>
      <c r="M7" s="167"/>
      <c r="N7" s="159" t="str">
        <f>HLOOKUP('Deckblatt-Cover sheet'!C5,'Katalog-Catalogue'!$B$2:$D$75,74,FALSE)</f>
        <v>max</v>
      </c>
      <c r="O7" s="145" t="str">
        <f>HLOOKUP('Deckblatt-Cover sheet'!C5,'Katalog-Catalogue'!$B$2:$D$75,73,FALSE)</f>
        <v>min</v>
      </c>
      <c r="P7" s="166"/>
      <c r="Q7" s="159" t="str">
        <f>HLOOKUP('Deckblatt-Cover sheet'!C5,'Katalog-Catalogue'!$B$2:$D$75,74,FALSE)</f>
        <v>max</v>
      </c>
      <c r="R7" s="333"/>
      <c r="S7" s="145"/>
      <c r="T7" s="163" t="str">
        <f>HLOOKUP('Deckblatt-Cover sheet'!C5,'Katalog-Catalogue'!$B$2:$D$75,33,FALSE)</f>
        <v>equip.</v>
      </c>
      <c r="U7" s="93">
        <v>1</v>
      </c>
      <c r="V7" s="93">
        <v>2</v>
      </c>
      <c r="W7" s="93">
        <v>3</v>
      </c>
      <c r="X7" s="93">
        <v>4</v>
      </c>
      <c r="Y7" s="93">
        <v>5</v>
      </c>
      <c r="Z7" s="93">
        <v>6</v>
      </c>
      <c r="AA7" s="93">
        <v>7</v>
      </c>
      <c r="AB7" s="93">
        <v>8</v>
      </c>
      <c r="AC7" s="93">
        <v>9</v>
      </c>
      <c r="AD7" s="93">
        <v>10</v>
      </c>
    </row>
    <row r="8" spans="1:30" ht="13.15">
      <c r="A8" s="96">
        <v>1</v>
      </c>
      <c r="B8" s="327" t="str">
        <f>IF('Deckblatt-Cover sheet'!$C$5="German",IF(ISERROR(VLOOKUP(F8,'Katalog-Catalogue'!$A$77:$F$173,2,FALSE)),"",S8&amp;" "&amp;VLOOKUP(F8,'Katalog-Catalogue'!$A$77:$F$173,2,FALSE)),IF('Deckblatt-Cover sheet'!$C$5="English",IF(ISERROR(VLOOKUP(F8,'Katalog-Catalogue'!A74:D170,3,FALSE)),"",S8&amp;" "&amp;VLOOKUP(F8,'Katalog-Catalogue'!$A$77:$F$173,3,FALSE)),IF('Deckblatt-Cover sheet'!$C$5="Chinese",IF(ISERROR(VLOOKUP(F8,'Katalog-Catalogue'!A74:D170,4,FALSE)),"",S8&amp;" "&amp;VLOOKUP(F8,'Katalog-Catalogue'!$A$77:$F$173,4,FALSE)))))</f>
        <v/>
      </c>
      <c r="C8" s="328"/>
      <c r="D8" s="328"/>
      <c r="E8" s="329"/>
      <c r="F8" s="97"/>
      <c r="G8" s="330"/>
      <c r="H8" s="331"/>
      <c r="I8" s="331"/>
      <c r="J8" s="331"/>
      <c r="K8" s="331"/>
      <c r="L8" s="98"/>
      <c r="M8" s="112" t="s">
        <v>5</v>
      </c>
      <c r="N8" s="99"/>
      <c r="O8" s="94">
        <f>MIN(U8:AD8)</f>
        <v>0</v>
      </c>
      <c r="P8" s="113" t="s">
        <v>5</v>
      </c>
      <c r="Q8" s="95">
        <f>MAX(U8:AD8)</f>
        <v>0</v>
      </c>
      <c r="R8" s="153"/>
      <c r="S8" s="125"/>
      <c r="T8" s="93" t="str">
        <f>IF('Deckblatt-Cover sheet'!$C$5="German",IF(ISERROR(VLOOKUP(F8,'Katalog-Catalogue'!$A$77:$J$173,6,FALSE)),"",VLOOKUP(F8,'Katalog-Catalogue'!$A$77:$J$173,6,FALSE)),IF('Deckblatt-Cover sheet'!$C$5="English",IF(ISERROR(VLOOKUP(F8,'Katalog-Catalogue'!$A$77:$J$173,8,FALSE)),"",VLOOKUP(F8,'Katalog-Catalogue'!$A$77:$J$173,8,FALSE)),IF('Deckblatt-Cover sheet'!$C$5="Chinese",IF(ISERROR(VLOOKUP(F8,'Katalog-Catalogue'!$A$77:$J$173,10,FALSE)),"",VLOOKUP(F8,'Katalog-Catalogue'!$A$77:$J$173,10,FALSE)))))</f>
        <v/>
      </c>
      <c r="U8" s="93"/>
      <c r="V8" s="93"/>
      <c r="W8" s="93"/>
      <c r="X8" s="93"/>
      <c r="Y8" s="93"/>
      <c r="Z8" s="93"/>
      <c r="AA8" s="93"/>
      <c r="AB8" s="93"/>
      <c r="AC8" s="93"/>
      <c r="AD8" s="93"/>
    </row>
    <row r="9" spans="1:30" ht="13.15">
      <c r="A9" s="96">
        <v>2</v>
      </c>
      <c r="B9" s="327" t="str">
        <f>IF('Deckblatt-Cover sheet'!$C$5="German",IF(ISERROR(VLOOKUP(F9,'Katalog-Catalogue'!$A$77:$F$173,2,FALSE)),"",S9&amp;" "&amp;VLOOKUP(F9,'Katalog-Catalogue'!$A$77:$F$173,2,FALSE)),IF('Deckblatt-Cover sheet'!$C$5="English",IF(ISERROR(VLOOKUP(F9,'Katalog-Catalogue'!A75:D171,3,FALSE)),"",S9&amp;" "&amp;VLOOKUP(F9,'Katalog-Catalogue'!$A$77:$F$173,3,FALSE)),IF('Deckblatt-Cover sheet'!$C$5="Chinese",IF(ISERROR(VLOOKUP(F9,'Katalog-Catalogue'!A75:D171,4,FALSE)),"",S9&amp;" "&amp;VLOOKUP(F9,'Katalog-Catalogue'!$A$77:$F$173,4,FALSE)))))</f>
        <v/>
      </c>
      <c r="C9" s="328"/>
      <c r="D9" s="328"/>
      <c r="E9" s="329"/>
      <c r="F9" s="97"/>
      <c r="G9" s="330"/>
      <c r="H9" s="331"/>
      <c r="I9" s="331"/>
      <c r="J9" s="331"/>
      <c r="K9" s="331"/>
      <c r="L9" s="98"/>
      <c r="M9" s="112" t="s">
        <v>5</v>
      </c>
      <c r="N9" s="99"/>
      <c r="O9" s="94">
        <f t="shared" ref="O9:O37" si="0">MIN(U9:AD9)</f>
        <v>0</v>
      </c>
      <c r="P9" s="113" t="s">
        <v>5</v>
      </c>
      <c r="Q9" s="95">
        <f t="shared" ref="Q9:Q37" si="1">MAX(U9:AD9)</f>
        <v>0</v>
      </c>
      <c r="R9" s="153"/>
      <c r="S9" s="125"/>
      <c r="T9" s="93" t="str">
        <f>IF('Deckblatt-Cover sheet'!$C$5="German",IF(ISERROR(VLOOKUP(F9,'Katalog-Catalogue'!$A$77:$J$173,6,FALSE)),"",VLOOKUP(F9,'Katalog-Catalogue'!$A$77:$J$173,6,FALSE)),IF('Deckblatt-Cover sheet'!$C$5="English",IF(ISERROR(VLOOKUP(F9,'Katalog-Catalogue'!$A$77:$J$173,8,FALSE)),"",VLOOKUP(F9,'Katalog-Catalogue'!$A$77:$J$173,8,FALSE)),IF('Deckblatt-Cover sheet'!$C$5="Chinese",IF(ISERROR(VLOOKUP(F9,'Katalog-Catalogue'!$A$77:$J$173,10,FALSE)),"",VLOOKUP(F9,'Katalog-Catalogue'!$A$77:$J$173,10,FALSE)))))</f>
        <v/>
      </c>
      <c r="U9" s="93"/>
      <c r="V9" s="93"/>
      <c r="W9" s="93"/>
      <c r="X9" s="93"/>
      <c r="Y9" s="93"/>
      <c r="Z9" s="93"/>
      <c r="AA9" s="93"/>
      <c r="AB9" s="93"/>
      <c r="AC9" s="93"/>
      <c r="AD9" s="93"/>
    </row>
    <row r="10" spans="1:30" ht="13.15">
      <c r="A10" s="96">
        <v>3</v>
      </c>
      <c r="B10" s="327" t="str">
        <f>IF('Deckblatt-Cover sheet'!$C$5="German",IF(ISERROR(VLOOKUP(F10,'Katalog-Catalogue'!$A$77:$F$173,2,FALSE)),"",S10&amp;" "&amp;VLOOKUP(F10,'Katalog-Catalogue'!$A$77:$F$173,2,FALSE)),IF('Deckblatt-Cover sheet'!$C$5="English",IF(ISERROR(VLOOKUP(F10,'Katalog-Catalogue'!A76:D172,3,FALSE)),"",S10&amp;" "&amp;VLOOKUP(F10,'Katalog-Catalogue'!$A$77:$F$173,3,FALSE)),IF('Deckblatt-Cover sheet'!$C$5="Chinese",IF(ISERROR(VLOOKUP(F10,'Katalog-Catalogue'!A76:D172,4,FALSE)),"",S10&amp;" "&amp;VLOOKUP(F10,'Katalog-Catalogue'!$A$77:$F$173,4,FALSE)))))</f>
        <v/>
      </c>
      <c r="C10" s="328"/>
      <c r="D10" s="328"/>
      <c r="E10" s="329"/>
      <c r="F10" s="97"/>
      <c r="G10" s="330"/>
      <c r="H10" s="331"/>
      <c r="I10" s="331"/>
      <c r="J10" s="331"/>
      <c r="K10" s="331"/>
      <c r="L10" s="98"/>
      <c r="M10" s="112" t="s">
        <v>5</v>
      </c>
      <c r="N10" s="99"/>
      <c r="O10" s="94">
        <f t="shared" si="0"/>
        <v>0</v>
      </c>
      <c r="P10" s="113" t="s">
        <v>5</v>
      </c>
      <c r="Q10" s="95">
        <f t="shared" si="1"/>
        <v>0</v>
      </c>
      <c r="R10" s="153"/>
      <c r="S10" s="125"/>
      <c r="T10" s="93" t="str">
        <f>IF('Deckblatt-Cover sheet'!$C$5="German",IF(ISERROR(VLOOKUP(F10,'Katalog-Catalogue'!$A$77:$J$173,6,FALSE)),"",VLOOKUP(F10,'Katalog-Catalogue'!$A$77:$J$173,6,FALSE)),IF('Deckblatt-Cover sheet'!$C$5="English",IF(ISERROR(VLOOKUP(F10,'Katalog-Catalogue'!$A$77:$J$173,8,FALSE)),"",VLOOKUP(F10,'Katalog-Catalogue'!$A$77:$J$173,8,FALSE)),IF('Deckblatt-Cover sheet'!$C$5="Chinese",IF(ISERROR(VLOOKUP(F10,'Katalog-Catalogue'!$A$77:$J$173,10,FALSE)),"",VLOOKUP(F10,'Katalog-Catalogue'!$A$77:$J$173,10,FALSE)))))</f>
        <v/>
      </c>
      <c r="U10" s="93"/>
      <c r="V10" s="93"/>
      <c r="W10" s="93"/>
      <c r="X10" s="93"/>
      <c r="Y10" s="93"/>
      <c r="Z10" s="93"/>
      <c r="AA10" s="93"/>
      <c r="AB10" s="93"/>
      <c r="AC10" s="93"/>
      <c r="AD10" s="93"/>
    </row>
    <row r="11" spans="1:30" ht="13.15">
      <c r="A11" s="96">
        <v>4</v>
      </c>
      <c r="B11" s="327" t="str">
        <f>IF('Deckblatt-Cover sheet'!$C$5="German",IF(ISERROR(VLOOKUP(F11,'Katalog-Catalogue'!$A$77:$F$173,2,FALSE)),"",S11&amp;" "&amp;VLOOKUP(F11,'Katalog-Catalogue'!$A$77:$F$173,2,FALSE)),IF('Deckblatt-Cover sheet'!$C$5="English",IF(ISERROR(VLOOKUP(F11,'Katalog-Catalogue'!A77:D173,3,FALSE)),"",S11&amp;" "&amp;VLOOKUP(F11,'Katalog-Catalogue'!$A$77:$F$173,3,FALSE)),IF('Deckblatt-Cover sheet'!$C$5="Chinese",IF(ISERROR(VLOOKUP(F11,'Katalog-Catalogue'!A77:D173,4,FALSE)),"",S11&amp;" "&amp;VLOOKUP(F11,'Katalog-Catalogue'!$A$77:$F$173,4,FALSE)))))</f>
        <v/>
      </c>
      <c r="C11" s="328"/>
      <c r="D11" s="328"/>
      <c r="E11" s="329"/>
      <c r="F11" s="97"/>
      <c r="G11" s="330"/>
      <c r="H11" s="331"/>
      <c r="I11" s="331"/>
      <c r="J11" s="331"/>
      <c r="K11" s="331"/>
      <c r="L11" s="98"/>
      <c r="M11" s="112" t="s">
        <v>5</v>
      </c>
      <c r="N11" s="99"/>
      <c r="O11" s="94">
        <f t="shared" si="0"/>
        <v>0</v>
      </c>
      <c r="P11" s="113" t="s">
        <v>5</v>
      </c>
      <c r="Q11" s="95">
        <f t="shared" si="1"/>
        <v>0</v>
      </c>
      <c r="R11" s="153"/>
      <c r="S11" s="125"/>
      <c r="T11" s="93" t="str">
        <f>IF('Deckblatt-Cover sheet'!$C$5="German",IF(ISERROR(VLOOKUP(F11,'Katalog-Catalogue'!$A$77:$J$173,6,FALSE)),"",VLOOKUP(F11,'Katalog-Catalogue'!$A$77:$J$173,6,FALSE)),IF('Deckblatt-Cover sheet'!$C$5="English",IF(ISERROR(VLOOKUP(F11,'Katalog-Catalogue'!$A$77:$J$173,8,FALSE)),"",VLOOKUP(F11,'Katalog-Catalogue'!$A$77:$J$173,8,FALSE)),IF('Deckblatt-Cover sheet'!$C$5="Chinese",IF(ISERROR(VLOOKUP(F11,'Katalog-Catalogue'!$A$77:$J$173,10,FALSE)),"",VLOOKUP(F11,'Katalog-Catalogue'!$A$77:$J$173,10,FALSE)))))</f>
        <v/>
      </c>
      <c r="U11" s="93"/>
      <c r="V11" s="93"/>
      <c r="W11" s="93"/>
      <c r="X11" s="93"/>
      <c r="Y11" s="93"/>
      <c r="Z11" s="93"/>
      <c r="AA11" s="93"/>
      <c r="AB11" s="93"/>
      <c r="AC11" s="93"/>
      <c r="AD11" s="93"/>
    </row>
    <row r="12" spans="1:30" ht="13.15">
      <c r="A12" s="96">
        <v>5</v>
      </c>
      <c r="B12" s="327" t="str">
        <f>IF('Deckblatt-Cover sheet'!$C$5="German",IF(ISERROR(VLOOKUP(F12,'Katalog-Catalogue'!$A$77:$F$173,2,FALSE)),"",S12&amp;" "&amp;VLOOKUP(F12,'Katalog-Catalogue'!$A$77:$F$173,2,FALSE)),IF('Deckblatt-Cover sheet'!$C$5="English",IF(ISERROR(VLOOKUP(F12,'Katalog-Catalogue'!A78:D174,3,FALSE)),"",S12&amp;" "&amp;VLOOKUP(F12,'Katalog-Catalogue'!$A$77:$F$173,3,FALSE)),IF('Deckblatt-Cover sheet'!$C$5="Chinese",IF(ISERROR(VLOOKUP(F12,'Katalog-Catalogue'!A78:D174,4,FALSE)),"",S12&amp;" "&amp;VLOOKUP(F12,'Katalog-Catalogue'!$A$77:$F$173,4,FALSE)))))</f>
        <v/>
      </c>
      <c r="C12" s="328"/>
      <c r="D12" s="328"/>
      <c r="E12" s="329"/>
      <c r="F12" s="97"/>
      <c r="G12" s="330"/>
      <c r="H12" s="331"/>
      <c r="I12" s="331"/>
      <c r="J12" s="331"/>
      <c r="K12" s="331"/>
      <c r="L12" s="98"/>
      <c r="M12" s="112" t="s">
        <v>5</v>
      </c>
      <c r="N12" s="99"/>
      <c r="O12" s="94">
        <f t="shared" si="0"/>
        <v>0</v>
      </c>
      <c r="P12" s="113" t="s">
        <v>5</v>
      </c>
      <c r="Q12" s="95">
        <f t="shared" si="1"/>
        <v>0</v>
      </c>
      <c r="R12" s="153"/>
      <c r="S12" s="125"/>
      <c r="T12" s="93" t="str">
        <f>IF('Deckblatt-Cover sheet'!$C$5="German",IF(ISERROR(VLOOKUP(F12,'Katalog-Catalogue'!$A$77:$J$173,6,FALSE)),"",VLOOKUP(F12,'Katalog-Catalogue'!$A$77:$J$173,6,FALSE)),IF('Deckblatt-Cover sheet'!$C$5="English",IF(ISERROR(VLOOKUP(F12,'Katalog-Catalogue'!$A$77:$J$173,8,FALSE)),"",VLOOKUP(F12,'Katalog-Catalogue'!$A$77:$J$173,8,FALSE)),IF('Deckblatt-Cover sheet'!$C$5="Chinese",IF(ISERROR(VLOOKUP(F12,'Katalog-Catalogue'!$A$77:$J$173,10,FALSE)),"",VLOOKUP(F12,'Katalog-Catalogue'!$A$77:$J$173,10,FALSE)))))</f>
        <v/>
      </c>
      <c r="U12" s="93"/>
      <c r="V12" s="93"/>
      <c r="W12" s="93"/>
      <c r="X12" s="93"/>
      <c r="Y12" s="93"/>
      <c r="Z12" s="93"/>
      <c r="AA12" s="93"/>
      <c r="AB12" s="93"/>
      <c r="AC12" s="93"/>
      <c r="AD12" s="93"/>
    </row>
    <row r="13" spans="1:30" ht="13.15">
      <c r="A13" s="96">
        <v>6</v>
      </c>
      <c r="B13" s="327" t="str">
        <f>IF('Deckblatt-Cover sheet'!$C$5="German",IF(ISERROR(VLOOKUP(F13,'Katalog-Catalogue'!$A$77:$F$173,2,FALSE)),"",S13&amp;" "&amp;VLOOKUP(F13,'Katalog-Catalogue'!$A$77:$F$173,2,FALSE)),IF('Deckblatt-Cover sheet'!$C$5="English",IF(ISERROR(VLOOKUP(F13,'Katalog-Catalogue'!A79:D175,3,FALSE)),"",S13&amp;" "&amp;VLOOKUP(F13,'Katalog-Catalogue'!$A$77:$F$173,3,FALSE)),IF('Deckblatt-Cover sheet'!$C$5="Chinese",IF(ISERROR(VLOOKUP(F13,'Katalog-Catalogue'!A79:D175,4,FALSE)),"",S13&amp;" "&amp;VLOOKUP(F13,'Katalog-Catalogue'!$A$77:$F$173,4,FALSE)))))</f>
        <v/>
      </c>
      <c r="C13" s="328"/>
      <c r="D13" s="328"/>
      <c r="E13" s="329"/>
      <c r="F13" s="97"/>
      <c r="G13" s="330"/>
      <c r="H13" s="331"/>
      <c r="I13" s="331"/>
      <c r="J13" s="331"/>
      <c r="K13" s="331"/>
      <c r="L13" s="98"/>
      <c r="M13" s="112" t="s">
        <v>5</v>
      </c>
      <c r="N13" s="99"/>
      <c r="O13" s="94">
        <f t="shared" si="0"/>
        <v>0</v>
      </c>
      <c r="P13" s="113" t="s">
        <v>5</v>
      </c>
      <c r="Q13" s="95">
        <f t="shared" si="1"/>
        <v>0</v>
      </c>
      <c r="R13" s="153"/>
      <c r="S13" s="125"/>
      <c r="T13" s="93" t="str">
        <f>IF('Deckblatt-Cover sheet'!$C$5="German",IF(ISERROR(VLOOKUP(F13,'Katalog-Catalogue'!$A$77:$J$173,6,FALSE)),"",VLOOKUP(F13,'Katalog-Catalogue'!$A$77:$J$173,6,FALSE)),IF('Deckblatt-Cover sheet'!$C$5="English",IF(ISERROR(VLOOKUP(F13,'Katalog-Catalogue'!$A$77:$J$173,8,FALSE)),"",VLOOKUP(F13,'Katalog-Catalogue'!$A$77:$J$173,8,FALSE)),IF('Deckblatt-Cover sheet'!$C$5="Chinese",IF(ISERROR(VLOOKUP(F13,'Katalog-Catalogue'!$A$77:$J$173,10,FALSE)),"",VLOOKUP(F13,'Katalog-Catalogue'!$A$77:$J$173,10,FALSE)))))</f>
        <v/>
      </c>
      <c r="U13" s="93"/>
      <c r="V13" s="93"/>
      <c r="W13" s="93"/>
      <c r="X13" s="93"/>
      <c r="Y13" s="93"/>
      <c r="Z13" s="93"/>
      <c r="AA13" s="93"/>
      <c r="AB13" s="93"/>
      <c r="AC13" s="93"/>
      <c r="AD13" s="93"/>
    </row>
    <row r="14" spans="1:30" ht="13.15">
      <c r="A14" s="96">
        <v>7</v>
      </c>
      <c r="B14" s="327" t="str">
        <f>IF('Deckblatt-Cover sheet'!$C$5="German",IF(ISERROR(VLOOKUP(F14,'Katalog-Catalogue'!$A$77:$F$173,2,FALSE)),"",S14&amp;" "&amp;VLOOKUP(F14,'Katalog-Catalogue'!$A$77:$F$173,2,FALSE)),IF('Deckblatt-Cover sheet'!$C$5="English",IF(ISERROR(VLOOKUP(F14,'Katalog-Catalogue'!A80:D176,3,FALSE)),"",S14&amp;" "&amp;VLOOKUP(F14,'Katalog-Catalogue'!$A$77:$F$173,3,FALSE)),IF('Deckblatt-Cover sheet'!$C$5="Chinese",IF(ISERROR(VLOOKUP(F14,'Katalog-Catalogue'!A80:D176,4,FALSE)),"",S14&amp;" "&amp;VLOOKUP(F14,'Katalog-Catalogue'!$A$77:$F$173,4,FALSE)))))</f>
        <v/>
      </c>
      <c r="C14" s="328"/>
      <c r="D14" s="328"/>
      <c r="E14" s="329"/>
      <c r="F14" s="97"/>
      <c r="G14" s="330"/>
      <c r="H14" s="331"/>
      <c r="I14" s="331"/>
      <c r="J14" s="331"/>
      <c r="K14" s="331"/>
      <c r="L14" s="98"/>
      <c r="M14" s="112" t="s">
        <v>5</v>
      </c>
      <c r="N14" s="99"/>
      <c r="O14" s="94">
        <f t="shared" si="0"/>
        <v>0</v>
      </c>
      <c r="P14" s="113" t="s">
        <v>5</v>
      </c>
      <c r="Q14" s="95">
        <f t="shared" si="1"/>
        <v>0</v>
      </c>
      <c r="R14" s="153"/>
      <c r="S14" s="125"/>
      <c r="T14" s="93" t="str">
        <f>IF('Deckblatt-Cover sheet'!$C$5="German",IF(ISERROR(VLOOKUP(F14,'Katalog-Catalogue'!$A$77:$J$173,6,FALSE)),"",VLOOKUP(F14,'Katalog-Catalogue'!$A$77:$J$173,6,FALSE)),IF('Deckblatt-Cover sheet'!$C$5="English",IF(ISERROR(VLOOKUP(F14,'Katalog-Catalogue'!$A$77:$J$173,8,FALSE)),"",VLOOKUP(F14,'Katalog-Catalogue'!$A$77:$J$173,8,FALSE)),IF('Deckblatt-Cover sheet'!$C$5="Chinese",IF(ISERROR(VLOOKUP(F14,'Katalog-Catalogue'!$A$77:$J$173,10,FALSE)),"",VLOOKUP(F14,'Katalog-Catalogue'!$A$77:$J$173,10,FALSE)))))</f>
        <v/>
      </c>
      <c r="U14" s="93"/>
      <c r="V14" s="93"/>
      <c r="W14" s="93"/>
      <c r="X14" s="93"/>
      <c r="Y14" s="93"/>
      <c r="Z14" s="93"/>
      <c r="AA14" s="93"/>
      <c r="AB14" s="93"/>
      <c r="AC14" s="93"/>
      <c r="AD14" s="93"/>
    </row>
    <row r="15" spans="1:30" ht="13.15">
      <c r="A15" s="96">
        <v>8</v>
      </c>
      <c r="B15" s="327" t="str">
        <f>IF('Deckblatt-Cover sheet'!$C$5="German",IF(ISERROR(VLOOKUP(F15,'Katalog-Catalogue'!$A$77:$F$173,2,FALSE)),"",S15&amp;" "&amp;VLOOKUP(F15,'Katalog-Catalogue'!$A$77:$F$173,2,FALSE)),IF('Deckblatt-Cover sheet'!$C$5="English",IF(ISERROR(VLOOKUP(F15,'Katalog-Catalogue'!A81:D177,3,FALSE)),"",S15&amp;" "&amp;VLOOKUP(F15,'Katalog-Catalogue'!$A$77:$F$173,3,FALSE)),IF('Deckblatt-Cover sheet'!$C$5="Chinese",IF(ISERROR(VLOOKUP(F15,'Katalog-Catalogue'!A81:D177,4,FALSE)),"",S15&amp;" "&amp;VLOOKUP(F15,'Katalog-Catalogue'!$A$77:$F$173,4,FALSE)))))</f>
        <v/>
      </c>
      <c r="C15" s="328"/>
      <c r="D15" s="328"/>
      <c r="E15" s="329"/>
      <c r="F15" s="97"/>
      <c r="G15" s="330"/>
      <c r="H15" s="331"/>
      <c r="I15" s="331"/>
      <c r="J15" s="331"/>
      <c r="K15" s="331"/>
      <c r="L15" s="98"/>
      <c r="M15" s="112" t="s">
        <v>5</v>
      </c>
      <c r="N15" s="99"/>
      <c r="O15" s="94">
        <f t="shared" si="0"/>
        <v>0</v>
      </c>
      <c r="P15" s="113" t="s">
        <v>5</v>
      </c>
      <c r="Q15" s="95">
        <f t="shared" si="1"/>
        <v>0</v>
      </c>
      <c r="R15" s="153"/>
      <c r="S15" s="125"/>
      <c r="T15" s="93" t="str">
        <f>IF('Deckblatt-Cover sheet'!$C$5="German",IF(ISERROR(VLOOKUP(F15,'Katalog-Catalogue'!$A$77:$J$173,6,FALSE)),"",VLOOKUP(F15,'Katalog-Catalogue'!$A$77:$J$173,6,FALSE)),IF('Deckblatt-Cover sheet'!$C$5="English",IF(ISERROR(VLOOKUP(F15,'Katalog-Catalogue'!$A$77:$J$173,8,FALSE)),"",VLOOKUP(F15,'Katalog-Catalogue'!$A$77:$J$173,8,FALSE)),IF('Deckblatt-Cover sheet'!$C$5="Chinese",IF(ISERROR(VLOOKUP(F15,'Katalog-Catalogue'!$A$77:$J$173,10,FALSE)),"",VLOOKUP(F15,'Katalog-Catalogue'!$A$77:$J$173,10,FALSE)))))</f>
        <v/>
      </c>
      <c r="U15" s="93"/>
      <c r="V15" s="93"/>
      <c r="W15" s="93"/>
      <c r="X15" s="93"/>
      <c r="Y15" s="93"/>
      <c r="Z15" s="93"/>
      <c r="AA15" s="93"/>
      <c r="AB15" s="93"/>
      <c r="AC15" s="93"/>
      <c r="AD15" s="93"/>
    </row>
    <row r="16" spans="1:30" ht="13.15">
      <c r="A16" s="96">
        <v>9</v>
      </c>
      <c r="B16" s="327" t="str">
        <f>IF('Deckblatt-Cover sheet'!$C$5="German",IF(ISERROR(VLOOKUP(F16,'Katalog-Catalogue'!$A$77:$F$173,2,FALSE)),"",S16&amp;" "&amp;VLOOKUP(F16,'Katalog-Catalogue'!$A$77:$F$173,2,FALSE)),IF('Deckblatt-Cover sheet'!$C$5="English",IF(ISERROR(VLOOKUP(F16,'Katalog-Catalogue'!A82:D178,3,FALSE)),"",S16&amp;" "&amp;VLOOKUP(F16,'Katalog-Catalogue'!$A$77:$F$173,3,FALSE)),IF('Deckblatt-Cover sheet'!$C$5="Chinese",IF(ISERROR(VLOOKUP(F16,'Katalog-Catalogue'!A82:D178,4,FALSE)),"",S16&amp;" "&amp;VLOOKUP(F16,'Katalog-Catalogue'!$A$77:$F$173,4,FALSE)))))</f>
        <v/>
      </c>
      <c r="C16" s="328"/>
      <c r="D16" s="328"/>
      <c r="E16" s="329"/>
      <c r="F16" s="97"/>
      <c r="G16" s="330"/>
      <c r="H16" s="331"/>
      <c r="I16" s="331"/>
      <c r="J16" s="331"/>
      <c r="K16" s="331"/>
      <c r="L16" s="98"/>
      <c r="M16" s="112" t="s">
        <v>5</v>
      </c>
      <c r="N16" s="99"/>
      <c r="O16" s="94">
        <f t="shared" si="0"/>
        <v>0</v>
      </c>
      <c r="P16" s="113" t="s">
        <v>5</v>
      </c>
      <c r="Q16" s="95">
        <f t="shared" si="1"/>
        <v>0</v>
      </c>
      <c r="R16" s="153"/>
      <c r="S16" s="125"/>
      <c r="T16" s="93" t="str">
        <f>IF('Deckblatt-Cover sheet'!$C$5="German",IF(ISERROR(VLOOKUP(F16,'Katalog-Catalogue'!$A$77:$J$173,6,FALSE)),"",VLOOKUP(F16,'Katalog-Catalogue'!$A$77:$J$173,6,FALSE)),IF('Deckblatt-Cover sheet'!$C$5="English",IF(ISERROR(VLOOKUP(F16,'Katalog-Catalogue'!$A$77:$J$173,8,FALSE)),"",VLOOKUP(F16,'Katalog-Catalogue'!$A$77:$J$173,8,FALSE)),IF('Deckblatt-Cover sheet'!$C$5="Chinese",IF(ISERROR(VLOOKUP(F16,'Katalog-Catalogue'!$A$77:$J$173,10,FALSE)),"",VLOOKUP(F16,'Katalog-Catalogue'!$A$77:$J$173,10,FALSE)))))</f>
        <v/>
      </c>
      <c r="U16" s="93"/>
      <c r="V16" s="93"/>
      <c r="W16" s="93"/>
      <c r="X16" s="93"/>
      <c r="Y16" s="93"/>
      <c r="Z16" s="93"/>
      <c r="AA16" s="93"/>
      <c r="AB16" s="93"/>
      <c r="AC16" s="93"/>
      <c r="AD16" s="93"/>
    </row>
    <row r="17" spans="1:30" ht="13.15">
      <c r="A17" s="96">
        <v>10</v>
      </c>
      <c r="B17" s="327" t="str">
        <f>IF('Deckblatt-Cover sheet'!$C$5="German",IF(ISERROR(VLOOKUP(F17,'Katalog-Catalogue'!$A$77:$F$173,2,FALSE)),"",S17&amp;" "&amp;VLOOKUP(F17,'Katalog-Catalogue'!$A$77:$F$173,2,FALSE)),IF('Deckblatt-Cover sheet'!$C$5="English",IF(ISERROR(VLOOKUP(F17,'Katalog-Catalogue'!A83:D179,3,FALSE)),"",S17&amp;" "&amp;VLOOKUP(F17,'Katalog-Catalogue'!$A$77:$F$173,3,FALSE)),IF('Deckblatt-Cover sheet'!$C$5="Chinese",IF(ISERROR(VLOOKUP(F17,'Katalog-Catalogue'!A83:D179,4,FALSE)),"",S17&amp;" "&amp;VLOOKUP(F17,'Katalog-Catalogue'!$A$77:$F$173,4,FALSE)))))</f>
        <v/>
      </c>
      <c r="C17" s="328"/>
      <c r="D17" s="328"/>
      <c r="E17" s="329"/>
      <c r="F17" s="97"/>
      <c r="G17" s="330"/>
      <c r="H17" s="331"/>
      <c r="I17" s="331"/>
      <c r="J17" s="331"/>
      <c r="K17" s="331"/>
      <c r="L17" s="98"/>
      <c r="M17" s="112" t="s">
        <v>5</v>
      </c>
      <c r="N17" s="99"/>
      <c r="O17" s="94">
        <f t="shared" si="0"/>
        <v>0</v>
      </c>
      <c r="P17" s="113" t="s">
        <v>5</v>
      </c>
      <c r="Q17" s="95">
        <f t="shared" si="1"/>
        <v>0</v>
      </c>
      <c r="R17" s="153"/>
      <c r="S17" s="125"/>
      <c r="T17" s="93" t="str">
        <f>IF('Deckblatt-Cover sheet'!$C$5="German",IF(ISERROR(VLOOKUP(F17,'Katalog-Catalogue'!$A$77:$J$173,6,FALSE)),"",VLOOKUP(F17,'Katalog-Catalogue'!$A$77:$J$173,6,FALSE)),IF('Deckblatt-Cover sheet'!$C$5="English",IF(ISERROR(VLOOKUP(F17,'Katalog-Catalogue'!$A$77:$J$173,8,FALSE)),"",VLOOKUP(F17,'Katalog-Catalogue'!$A$77:$J$173,8,FALSE)),IF('Deckblatt-Cover sheet'!$C$5="Chinese",IF(ISERROR(VLOOKUP(F17,'Katalog-Catalogue'!$A$77:$J$173,10,FALSE)),"",VLOOKUP(F17,'Katalog-Catalogue'!$A$77:$J$173,10,FALSE)))))</f>
        <v/>
      </c>
      <c r="U17" s="93"/>
      <c r="V17" s="93"/>
      <c r="W17" s="93"/>
      <c r="X17" s="93"/>
      <c r="Y17" s="93"/>
      <c r="Z17" s="93"/>
      <c r="AA17" s="93"/>
      <c r="AB17" s="93"/>
      <c r="AC17" s="93"/>
      <c r="AD17" s="93"/>
    </row>
    <row r="18" spans="1:30" ht="13.15">
      <c r="A18" s="96">
        <v>11</v>
      </c>
      <c r="B18" s="327" t="str">
        <f>IF('Deckblatt-Cover sheet'!$C$5="German",IF(ISERROR(VLOOKUP(F18,'Katalog-Catalogue'!$A$77:$F$173,2,FALSE)),"",S18&amp;" "&amp;VLOOKUP(F18,'Katalog-Catalogue'!$A$77:$F$173,2,FALSE)),IF('Deckblatt-Cover sheet'!$C$5="English",IF(ISERROR(VLOOKUP(F18,'Katalog-Catalogue'!A84:D180,3,FALSE)),"",S18&amp;" "&amp;VLOOKUP(F18,'Katalog-Catalogue'!$A$77:$F$173,3,FALSE)),IF('Deckblatt-Cover sheet'!$C$5="Chinese",IF(ISERROR(VLOOKUP(F18,'Katalog-Catalogue'!A84:D180,4,FALSE)),"",S18&amp;" "&amp;VLOOKUP(F18,'Katalog-Catalogue'!$A$77:$F$173,4,FALSE)))))</f>
        <v/>
      </c>
      <c r="C18" s="328"/>
      <c r="D18" s="328"/>
      <c r="E18" s="329"/>
      <c r="F18" s="97"/>
      <c r="G18" s="330"/>
      <c r="H18" s="331"/>
      <c r="I18" s="331"/>
      <c r="J18" s="331"/>
      <c r="K18" s="331"/>
      <c r="L18" s="98"/>
      <c r="M18" s="112" t="s">
        <v>5</v>
      </c>
      <c r="N18" s="99"/>
      <c r="O18" s="94">
        <f t="shared" si="0"/>
        <v>0</v>
      </c>
      <c r="P18" s="113" t="s">
        <v>5</v>
      </c>
      <c r="Q18" s="95">
        <f t="shared" si="1"/>
        <v>0</v>
      </c>
      <c r="R18" s="153"/>
      <c r="S18" s="125"/>
      <c r="T18" s="93" t="str">
        <f>IF('Deckblatt-Cover sheet'!$C$5="German",IF(ISERROR(VLOOKUP(F18,'Katalog-Catalogue'!$A$77:$J$173,6,FALSE)),"",VLOOKUP(F18,'Katalog-Catalogue'!$A$77:$J$173,6,FALSE)),IF('Deckblatt-Cover sheet'!$C$5="English",IF(ISERROR(VLOOKUP(F18,'Katalog-Catalogue'!$A$77:$J$173,8,FALSE)),"",VLOOKUP(F18,'Katalog-Catalogue'!$A$77:$J$173,8,FALSE)),IF('Deckblatt-Cover sheet'!$C$5="Chinese",IF(ISERROR(VLOOKUP(F18,'Katalog-Catalogue'!$A$77:$J$173,10,FALSE)),"",VLOOKUP(F18,'Katalog-Catalogue'!$A$77:$J$173,10,FALSE)))))</f>
        <v/>
      </c>
      <c r="U18" s="93"/>
      <c r="V18" s="93"/>
      <c r="W18" s="93"/>
      <c r="X18" s="93"/>
      <c r="Y18" s="93"/>
      <c r="Z18" s="93"/>
      <c r="AA18" s="93"/>
      <c r="AB18" s="93"/>
      <c r="AC18" s="93"/>
      <c r="AD18" s="93"/>
    </row>
    <row r="19" spans="1:30" ht="13.15">
      <c r="A19" s="96">
        <v>12</v>
      </c>
      <c r="B19" s="327" t="str">
        <f>IF('Deckblatt-Cover sheet'!$C$5="German",IF(ISERROR(VLOOKUP(F19,'Katalog-Catalogue'!$A$77:$F$173,2,FALSE)),"",S19&amp;" "&amp;VLOOKUP(F19,'Katalog-Catalogue'!$A$77:$F$173,2,FALSE)),IF('Deckblatt-Cover sheet'!$C$5="English",IF(ISERROR(VLOOKUP(F19,'Katalog-Catalogue'!A85:D181,3,FALSE)),"",S19&amp;" "&amp;VLOOKUP(F19,'Katalog-Catalogue'!$A$77:$F$173,3,FALSE)),IF('Deckblatt-Cover sheet'!$C$5="Chinese",IF(ISERROR(VLOOKUP(F19,'Katalog-Catalogue'!A85:D181,4,FALSE)),"",S19&amp;" "&amp;VLOOKUP(F19,'Katalog-Catalogue'!$A$77:$F$173,4,FALSE)))))</f>
        <v/>
      </c>
      <c r="C19" s="328"/>
      <c r="D19" s="328"/>
      <c r="E19" s="329"/>
      <c r="F19" s="97"/>
      <c r="G19" s="330"/>
      <c r="H19" s="331"/>
      <c r="I19" s="331"/>
      <c r="J19" s="331"/>
      <c r="K19" s="331"/>
      <c r="L19" s="98"/>
      <c r="M19" s="112" t="s">
        <v>5</v>
      </c>
      <c r="N19" s="99"/>
      <c r="O19" s="94">
        <f t="shared" si="0"/>
        <v>0</v>
      </c>
      <c r="P19" s="113" t="s">
        <v>5</v>
      </c>
      <c r="Q19" s="95">
        <f t="shared" si="1"/>
        <v>0</v>
      </c>
      <c r="R19" s="153"/>
      <c r="S19" s="125"/>
      <c r="T19" s="93" t="str">
        <f>IF('Deckblatt-Cover sheet'!$C$5="German",IF(ISERROR(VLOOKUP(F19,'Katalog-Catalogue'!$A$77:$J$173,6,FALSE)),"",VLOOKUP(F19,'Katalog-Catalogue'!$A$77:$J$173,6,FALSE)),IF('Deckblatt-Cover sheet'!$C$5="English",IF(ISERROR(VLOOKUP(F19,'Katalog-Catalogue'!$A$77:$J$173,8,FALSE)),"",VLOOKUP(F19,'Katalog-Catalogue'!$A$77:$J$173,8,FALSE)),IF('Deckblatt-Cover sheet'!$C$5="Chinese",IF(ISERROR(VLOOKUP(F19,'Katalog-Catalogue'!$A$77:$J$173,10,FALSE)),"",VLOOKUP(F19,'Katalog-Catalogue'!$A$77:$J$173,10,FALSE)))))</f>
        <v/>
      </c>
      <c r="U19" s="93"/>
      <c r="V19" s="93"/>
      <c r="W19" s="93"/>
      <c r="X19" s="93"/>
      <c r="Y19" s="93"/>
      <c r="Z19" s="93"/>
      <c r="AA19" s="93"/>
      <c r="AB19" s="93"/>
      <c r="AC19" s="93"/>
      <c r="AD19" s="93"/>
    </row>
    <row r="20" spans="1:30" ht="13.15">
      <c r="A20" s="96">
        <v>13</v>
      </c>
      <c r="B20" s="327" t="str">
        <f>IF('Deckblatt-Cover sheet'!$C$5="German",IF(ISERROR(VLOOKUP(F20,'Katalog-Catalogue'!$A$77:$F$173,2,FALSE)),"",S20&amp;" "&amp;VLOOKUP(F20,'Katalog-Catalogue'!$A$77:$F$173,2,FALSE)),IF('Deckblatt-Cover sheet'!$C$5="English",IF(ISERROR(VLOOKUP(F20,'Katalog-Catalogue'!A86:D182,3,FALSE)),"",S20&amp;" "&amp;VLOOKUP(F20,'Katalog-Catalogue'!$A$77:$F$173,3,FALSE)),IF('Deckblatt-Cover sheet'!$C$5="Chinese",IF(ISERROR(VLOOKUP(F20,'Katalog-Catalogue'!A86:D182,4,FALSE)),"",S20&amp;" "&amp;VLOOKUP(F20,'Katalog-Catalogue'!$A$77:$F$173,4,FALSE)))))</f>
        <v/>
      </c>
      <c r="C20" s="328"/>
      <c r="D20" s="328"/>
      <c r="E20" s="329"/>
      <c r="F20" s="97"/>
      <c r="G20" s="330"/>
      <c r="H20" s="331"/>
      <c r="I20" s="331"/>
      <c r="J20" s="331"/>
      <c r="K20" s="331"/>
      <c r="L20" s="98"/>
      <c r="M20" s="112" t="s">
        <v>5</v>
      </c>
      <c r="N20" s="99"/>
      <c r="O20" s="94">
        <f t="shared" si="0"/>
        <v>0</v>
      </c>
      <c r="P20" s="113" t="s">
        <v>5</v>
      </c>
      <c r="Q20" s="95">
        <f t="shared" si="1"/>
        <v>0</v>
      </c>
      <c r="R20" s="153"/>
      <c r="S20" s="125"/>
      <c r="T20" s="93" t="str">
        <f>IF('Deckblatt-Cover sheet'!$C$5="German",IF(ISERROR(VLOOKUP(F20,'Katalog-Catalogue'!$A$77:$J$173,6,FALSE)),"",VLOOKUP(F20,'Katalog-Catalogue'!$A$77:$J$173,6,FALSE)),IF('Deckblatt-Cover sheet'!$C$5="English",IF(ISERROR(VLOOKUP(F20,'Katalog-Catalogue'!$A$77:$J$173,8,FALSE)),"",VLOOKUP(F20,'Katalog-Catalogue'!$A$77:$J$173,8,FALSE)),IF('Deckblatt-Cover sheet'!$C$5="Chinese",IF(ISERROR(VLOOKUP(F20,'Katalog-Catalogue'!$A$77:$J$173,10,FALSE)),"",VLOOKUP(F20,'Katalog-Catalogue'!$A$77:$J$173,10,FALSE)))))</f>
        <v/>
      </c>
      <c r="U20" s="93"/>
      <c r="V20" s="93"/>
      <c r="W20" s="93"/>
      <c r="X20" s="93"/>
      <c r="Y20" s="93"/>
      <c r="Z20" s="93"/>
      <c r="AA20" s="93"/>
      <c r="AB20" s="93"/>
      <c r="AC20" s="93"/>
      <c r="AD20" s="93"/>
    </row>
    <row r="21" spans="1:30" ht="13.15">
      <c r="A21" s="96">
        <v>14</v>
      </c>
      <c r="B21" s="327" t="str">
        <f>IF('Deckblatt-Cover sheet'!$C$5="German",IF(ISERROR(VLOOKUP(F21,'Katalog-Catalogue'!$A$77:$F$173,2,FALSE)),"",S21&amp;" "&amp;VLOOKUP(F21,'Katalog-Catalogue'!$A$77:$F$173,2,FALSE)),IF('Deckblatt-Cover sheet'!$C$5="English",IF(ISERROR(VLOOKUP(F21,'Katalog-Catalogue'!A87:D183,3,FALSE)),"",S21&amp;" "&amp;VLOOKUP(F21,'Katalog-Catalogue'!$A$77:$F$173,3,FALSE)),IF('Deckblatt-Cover sheet'!$C$5="Chinese",IF(ISERROR(VLOOKUP(F21,'Katalog-Catalogue'!A87:D183,4,FALSE)),"",S21&amp;" "&amp;VLOOKUP(F21,'Katalog-Catalogue'!$A$77:$F$173,4,FALSE)))))</f>
        <v/>
      </c>
      <c r="C21" s="328"/>
      <c r="D21" s="328"/>
      <c r="E21" s="329"/>
      <c r="F21" s="97"/>
      <c r="G21" s="330"/>
      <c r="H21" s="331"/>
      <c r="I21" s="331"/>
      <c r="J21" s="331"/>
      <c r="K21" s="331"/>
      <c r="L21" s="98"/>
      <c r="M21" s="112" t="s">
        <v>5</v>
      </c>
      <c r="N21" s="99"/>
      <c r="O21" s="94">
        <f t="shared" si="0"/>
        <v>0</v>
      </c>
      <c r="P21" s="113" t="s">
        <v>5</v>
      </c>
      <c r="Q21" s="95">
        <f t="shared" si="1"/>
        <v>0</v>
      </c>
      <c r="R21" s="153"/>
      <c r="S21" s="125"/>
      <c r="T21" s="93" t="str">
        <f>IF('Deckblatt-Cover sheet'!$C$5="German",IF(ISERROR(VLOOKUP(F21,'Katalog-Catalogue'!$A$77:$J$173,6,FALSE)),"",VLOOKUP(F21,'Katalog-Catalogue'!$A$77:$J$173,6,FALSE)),IF('Deckblatt-Cover sheet'!$C$5="English",IF(ISERROR(VLOOKUP(F21,'Katalog-Catalogue'!$A$77:$J$173,8,FALSE)),"",VLOOKUP(F21,'Katalog-Catalogue'!$A$77:$J$173,8,FALSE)),IF('Deckblatt-Cover sheet'!$C$5="Chinese",IF(ISERROR(VLOOKUP(F21,'Katalog-Catalogue'!$A$77:$J$173,10,FALSE)),"",VLOOKUP(F21,'Katalog-Catalogue'!$A$77:$J$173,10,FALSE)))))</f>
        <v/>
      </c>
      <c r="U21" s="93"/>
      <c r="V21" s="93"/>
      <c r="W21" s="93"/>
      <c r="X21" s="93"/>
      <c r="Y21" s="93"/>
      <c r="Z21" s="93"/>
      <c r="AA21" s="93"/>
      <c r="AB21" s="93"/>
      <c r="AC21" s="93"/>
      <c r="AD21" s="93"/>
    </row>
    <row r="22" spans="1:30" ht="13.15">
      <c r="A22" s="96">
        <v>15</v>
      </c>
      <c r="B22" s="327" t="str">
        <f>IF('Deckblatt-Cover sheet'!$C$5="German",IF(ISERROR(VLOOKUP(F22,'Katalog-Catalogue'!$A$77:$F$173,2,FALSE)),"",S22&amp;" "&amp;VLOOKUP(F22,'Katalog-Catalogue'!$A$77:$F$173,2,FALSE)),IF('Deckblatt-Cover sheet'!$C$5="English",IF(ISERROR(VLOOKUP(F22,'Katalog-Catalogue'!A88:D184,3,FALSE)),"",S22&amp;" "&amp;VLOOKUP(F22,'Katalog-Catalogue'!$A$77:$F$173,3,FALSE)),IF('Deckblatt-Cover sheet'!$C$5="Chinese",IF(ISERROR(VLOOKUP(F22,'Katalog-Catalogue'!A88:D184,4,FALSE)),"",S22&amp;" "&amp;VLOOKUP(F22,'Katalog-Catalogue'!$A$77:$F$173,4,FALSE)))))</f>
        <v/>
      </c>
      <c r="C22" s="328"/>
      <c r="D22" s="328"/>
      <c r="E22" s="329"/>
      <c r="F22" s="97"/>
      <c r="G22" s="330"/>
      <c r="H22" s="331"/>
      <c r="I22" s="331"/>
      <c r="J22" s="331"/>
      <c r="K22" s="331"/>
      <c r="L22" s="98"/>
      <c r="M22" s="112" t="s">
        <v>5</v>
      </c>
      <c r="N22" s="99"/>
      <c r="O22" s="94">
        <f t="shared" si="0"/>
        <v>0</v>
      </c>
      <c r="P22" s="113" t="s">
        <v>5</v>
      </c>
      <c r="Q22" s="95">
        <f t="shared" si="1"/>
        <v>0</v>
      </c>
      <c r="R22" s="153"/>
      <c r="S22" s="125"/>
      <c r="T22" s="93" t="str">
        <f>IF('Deckblatt-Cover sheet'!$C$5="German",IF(ISERROR(VLOOKUP(F22,'Katalog-Catalogue'!$A$77:$J$173,6,FALSE)),"",VLOOKUP(F22,'Katalog-Catalogue'!$A$77:$J$173,6,FALSE)),IF('Deckblatt-Cover sheet'!$C$5="English",IF(ISERROR(VLOOKUP(F22,'Katalog-Catalogue'!$A$77:$J$173,8,FALSE)),"",VLOOKUP(F22,'Katalog-Catalogue'!$A$77:$J$173,8,FALSE)),IF('Deckblatt-Cover sheet'!$C$5="Chinese",IF(ISERROR(VLOOKUP(F22,'Katalog-Catalogue'!$A$77:$J$173,10,FALSE)),"",VLOOKUP(F22,'Katalog-Catalogue'!$A$77:$J$173,10,FALSE)))))</f>
        <v/>
      </c>
      <c r="U22" s="93"/>
      <c r="V22" s="93"/>
      <c r="W22" s="93"/>
      <c r="X22" s="93"/>
      <c r="Y22" s="93"/>
      <c r="Z22" s="93"/>
      <c r="AA22" s="93"/>
      <c r="AB22" s="93"/>
      <c r="AC22" s="93"/>
      <c r="AD22" s="93"/>
    </row>
    <row r="23" spans="1:30" ht="13.15">
      <c r="A23" s="96">
        <v>16</v>
      </c>
      <c r="B23" s="327" t="str">
        <f>IF('Deckblatt-Cover sheet'!$C$5="German",IF(ISERROR(VLOOKUP(F23,'Katalog-Catalogue'!$A$77:$F$173,2,FALSE)),"",S23&amp;" "&amp;VLOOKUP(F23,'Katalog-Catalogue'!$A$77:$F$173,2,FALSE)),IF('Deckblatt-Cover sheet'!$C$5="English",IF(ISERROR(VLOOKUP(F23,'Katalog-Catalogue'!A89:D185,3,FALSE)),"",S23&amp;" "&amp;VLOOKUP(F23,'Katalog-Catalogue'!$A$77:$F$173,3,FALSE)),IF('Deckblatt-Cover sheet'!$C$5="Chinese",IF(ISERROR(VLOOKUP(F23,'Katalog-Catalogue'!A89:D185,4,FALSE)),"",S23&amp;" "&amp;VLOOKUP(F23,'Katalog-Catalogue'!$A$77:$F$173,4,FALSE)))))</f>
        <v/>
      </c>
      <c r="C23" s="328"/>
      <c r="D23" s="328"/>
      <c r="E23" s="329"/>
      <c r="F23" s="97"/>
      <c r="G23" s="330"/>
      <c r="H23" s="331"/>
      <c r="I23" s="331"/>
      <c r="J23" s="331"/>
      <c r="K23" s="331"/>
      <c r="L23" s="98"/>
      <c r="M23" s="112" t="s">
        <v>5</v>
      </c>
      <c r="N23" s="99"/>
      <c r="O23" s="94">
        <f t="shared" si="0"/>
        <v>0</v>
      </c>
      <c r="P23" s="113" t="s">
        <v>5</v>
      </c>
      <c r="Q23" s="95">
        <f t="shared" si="1"/>
        <v>0</v>
      </c>
      <c r="R23" s="153"/>
      <c r="S23" s="125"/>
      <c r="T23" s="93" t="str">
        <f>IF('Deckblatt-Cover sheet'!$C$5="German",IF(ISERROR(VLOOKUP(F23,'Katalog-Catalogue'!$A$77:$J$173,6,FALSE)),"",VLOOKUP(F23,'Katalog-Catalogue'!$A$77:$J$173,6,FALSE)),IF('Deckblatt-Cover sheet'!$C$5="English",IF(ISERROR(VLOOKUP(F23,'Katalog-Catalogue'!$A$77:$J$173,8,FALSE)),"",VLOOKUP(F23,'Katalog-Catalogue'!$A$77:$J$173,8,FALSE)),IF('Deckblatt-Cover sheet'!$C$5="Chinese",IF(ISERROR(VLOOKUP(F23,'Katalog-Catalogue'!$A$77:$J$173,10,FALSE)),"",VLOOKUP(F23,'Katalog-Catalogue'!$A$77:$J$173,10,FALSE)))))</f>
        <v/>
      </c>
      <c r="U23" s="93"/>
      <c r="V23" s="93"/>
      <c r="W23" s="93"/>
      <c r="X23" s="93"/>
      <c r="Y23" s="93"/>
      <c r="Z23" s="93"/>
      <c r="AA23" s="93"/>
      <c r="AB23" s="93"/>
      <c r="AC23" s="93"/>
      <c r="AD23" s="93"/>
    </row>
    <row r="24" spans="1:30" ht="13.15">
      <c r="A24" s="96">
        <v>17</v>
      </c>
      <c r="B24" s="327" t="str">
        <f>IF('Deckblatt-Cover sheet'!$C$5="German",IF(ISERROR(VLOOKUP(F24,'Katalog-Catalogue'!$A$77:$F$173,2,FALSE)),"",S24&amp;" "&amp;VLOOKUP(F24,'Katalog-Catalogue'!$A$77:$F$173,2,FALSE)),IF('Deckblatt-Cover sheet'!$C$5="English",IF(ISERROR(VLOOKUP(F24,'Katalog-Catalogue'!A90:D186,3,FALSE)),"",S24&amp;" "&amp;VLOOKUP(F24,'Katalog-Catalogue'!$A$77:$F$173,3,FALSE)),IF('Deckblatt-Cover sheet'!$C$5="Chinese",IF(ISERROR(VLOOKUP(F24,'Katalog-Catalogue'!A90:D186,4,FALSE)),"",S24&amp;" "&amp;VLOOKUP(F24,'Katalog-Catalogue'!$A$77:$F$173,4,FALSE)))))</f>
        <v/>
      </c>
      <c r="C24" s="328"/>
      <c r="D24" s="328"/>
      <c r="E24" s="329"/>
      <c r="F24" s="97"/>
      <c r="G24" s="330"/>
      <c r="H24" s="331"/>
      <c r="I24" s="331"/>
      <c r="J24" s="331"/>
      <c r="K24" s="331"/>
      <c r="L24" s="98"/>
      <c r="M24" s="112" t="s">
        <v>5</v>
      </c>
      <c r="N24" s="99"/>
      <c r="O24" s="94">
        <f t="shared" si="0"/>
        <v>0</v>
      </c>
      <c r="P24" s="113" t="s">
        <v>5</v>
      </c>
      <c r="Q24" s="95">
        <f t="shared" si="1"/>
        <v>0</v>
      </c>
      <c r="R24" s="153"/>
      <c r="S24" s="125"/>
      <c r="T24" s="93" t="str">
        <f>IF('Deckblatt-Cover sheet'!$C$5="German",IF(ISERROR(VLOOKUP(F24,'Katalog-Catalogue'!$A$77:$J$173,6,FALSE)),"",VLOOKUP(F24,'Katalog-Catalogue'!$A$77:$J$173,6,FALSE)),IF('Deckblatt-Cover sheet'!$C$5="English",IF(ISERROR(VLOOKUP(F24,'Katalog-Catalogue'!$A$77:$J$173,8,FALSE)),"",VLOOKUP(F24,'Katalog-Catalogue'!$A$77:$J$173,8,FALSE)),IF('Deckblatt-Cover sheet'!$C$5="Chinese",IF(ISERROR(VLOOKUP(F24,'Katalog-Catalogue'!$A$77:$J$173,10,FALSE)),"",VLOOKUP(F24,'Katalog-Catalogue'!$A$77:$J$173,10,FALSE)))))</f>
        <v/>
      </c>
      <c r="U24" s="93"/>
      <c r="V24" s="93"/>
      <c r="W24" s="93"/>
      <c r="X24" s="93"/>
      <c r="Y24" s="93"/>
      <c r="Z24" s="93"/>
      <c r="AA24" s="93"/>
      <c r="AB24" s="93"/>
      <c r="AC24" s="93"/>
      <c r="AD24" s="93"/>
    </row>
    <row r="25" spans="1:30" ht="13.15">
      <c r="A25" s="96">
        <v>18</v>
      </c>
      <c r="B25" s="327" t="str">
        <f>IF('Deckblatt-Cover sheet'!$C$5="German",IF(ISERROR(VLOOKUP(F25,'Katalog-Catalogue'!$A$77:$F$173,2,FALSE)),"",S25&amp;" "&amp;VLOOKUP(F25,'Katalog-Catalogue'!$A$77:$F$173,2,FALSE)),IF('Deckblatt-Cover sheet'!$C$5="English",IF(ISERROR(VLOOKUP(F25,'Katalog-Catalogue'!A91:D187,3,FALSE)),"",S25&amp;" "&amp;VLOOKUP(F25,'Katalog-Catalogue'!$A$77:$F$173,3,FALSE)),IF('Deckblatt-Cover sheet'!$C$5="Chinese",IF(ISERROR(VLOOKUP(F25,'Katalog-Catalogue'!A91:D187,4,FALSE)),"",S25&amp;" "&amp;VLOOKUP(F25,'Katalog-Catalogue'!$A$77:$F$173,4,FALSE)))))</f>
        <v/>
      </c>
      <c r="C25" s="328"/>
      <c r="D25" s="328"/>
      <c r="E25" s="329"/>
      <c r="F25" s="97"/>
      <c r="G25" s="330"/>
      <c r="H25" s="331"/>
      <c r="I25" s="331"/>
      <c r="J25" s="331"/>
      <c r="K25" s="331"/>
      <c r="L25" s="98"/>
      <c r="M25" s="112" t="s">
        <v>5</v>
      </c>
      <c r="N25" s="99"/>
      <c r="O25" s="94">
        <f t="shared" si="0"/>
        <v>0</v>
      </c>
      <c r="P25" s="113" t="s">
        <v>5</v>
      </c>
      <c r="Q25" s="95">
        <f t="shared" si="1"/>
        <v>0</v>
      </c>
      <c r="R25" s="153"/>
      <c r="S25" s="125"/>
      <c r="T25" s="93" t="str">
        <f>IF('Deckblatt-Cover sheet'!$C$5="German",IF(ISERROR(VLOOKUP(F25,'Katalog-Catalogue'!$A$77:$J$173,6,FALSE)),"",VLOOKUP(F25,'Katalog-Catalogue'!$A$77:$J$173,6,FALSE)),IF('Deckblatt-Cover sheet'!$C$5="English",IF(ISERROR(VLOOKUP(F25,'Katalog-Catalogue'!$A$77:$J$173,8,FALSE)),"",VLOOKUP(F25,'Katalog-Catalogue'!$A$77:$J$173,8,FALSE)),IF('Deckblatt-Cover sheet'!$C$5="Chinese",IF(ISERROR(VLOOKUP(F25,'Katalog-Catalogue'!$A$77:$J$173,10,FALSE)),"",VLOOKUP(F25,'Katalog-Catalogue'!$A$77:$J$173,10,FALSE)))))</f>
        <v/>
      </c>
      <c r="U25" s="93"/>
      <c r="V25" s="93"/>
      <c r="W25" s="93"/>
      <c r="X25" s="93"/>
      <c r="Y25" s="93"/>
      <c r="Z25" s="93"/>
      <c r="AA25" s="93"/>
      <c r="AB25" s="93"/>
      <c r="AC25" s="93"/>
      <c r="AD25" s="93"/>
    </row>
    <row r="26" spans="1:30" ht="13.15">
      <c r="A26" s="96">
        <v>19</v>
      </c>
      <c r="B26" s="327" t="str">
        <f>IF('Deckblatt-Cover sheet'!$C$5="German",IF(ISERROR(VLOOKUP(F26,'Katalog-Catalogue'!$A$77:$F$173,2,FALSE)),"",S26&amp;" "&amp;VLOOKUP(F26,'Katalog-Catalogue'!$A$77:$F$173,2,FALSE)),IF('Deckblatt-Cover sheet'!$C$5="English",IF(ISERROR(VLOOKUP(F26,'Katalog-Catalogue'!A92:D188,3,FALSE)),"",S26&amp;" "&amp;VLOOKUP(F26,'Katalog-Catalogue'!$A$77:$F$173,3,FALSE)),IF('Deckblatt-Cover sheet'!$C$5="Chinese",IF(ISERROR(VLOOKUP(F26,'Katalog-Catalogue'!A92:D188,4,FALSE)),"",S26&amp;" "&amp;VLOOKUP(F26,'Katalog-Catalogue'!$A$77:$F$173,4,FALSE)))))</f>
        <v/>
      </c>
      <c r="C26" s="328"/>
      <c r="D26" s="328"/>
      <c r="E26" s="329"/>
      <c r="F26" s="97"/>
      <c r="G26" s="330"/>
      <c r="H26" s="331"/>
      <c r="I26" s="331"/>
      <c r="J26" s="331"/>
      <c r="K26" s="331"/>
      <c r="L26" s="98"/>
      <c r="M26" s="112" t="s">
        <v>5</v>
      </c>
      <c r="N26" s="99"/>
      <c r="O26" s="94">
        <f t="shared" si="0"/>
        <v>0</v>
      </c>
      <c r="P26" s="113" t="s">
        <v>5</v>
      </c>
      <c r="Q26" s="95">
        <f t="shared" si="1"/>
        <v>0</v>
      </c>
      <c r="R26" s="153"/>
      <c r="S26" s="125"/>
      <c r="T26" s="93" t="str">
        <f>IF('Deckblatt-Cover sheet'!$C$5="German",IF(ISERROR(VLOOKUP(F26,'Katalog-Catalogue'!$A$77:$J$173,6,FALSE)),"",VLOOKUP(F26,'Katalog-Catalogue'!$A$77:$J$173,6,FALSE)),IF('Deckblatt-Cover sheet'!$C$5="English",IF(ISERROR(VLOOKUP(F26,'Katalog-Catalogue'!$A$77:$J$173,8,FALSE)),"",VLOOKUP(F26,'Katalog-Catalogue'!$A$77:$J$173,8,FALSE)),IF('Deckblatt-Cover sheet'!$C$5="Chinese",IF(ISERROR(VLOOKUP(F26,'Katalog-Catalogue'!$A$77:$J$173,10,FALSE)),"",VLOOKUP(F26,'Katalog-Catalogue'!$A$77:$J$173,10,FALSE)))))</f>
        <v/>
      </c>
      <c r="U26" s="93"/>
      <c r="V26" s="93"/>
      <c r="W26" s="93"/>
      <c r="X26" s="93"/>
      <c r="Y26" s="93"/>
      <c r="Z26" s="93"/>
      <c r="AA26" s="93"/>
      <c r="AB26" s="93"/>
      <c r="AC26" s="93"/>
      <c r="AD26" s="93"/>
    </row>
    <row r="27" spans="1:30" ht="13.15">
      <c r="A27" s="96">
        <v>20</v>
      </c>
      <c r="B27" s="327" t="str">
        <f>IF('Deckblatt-Cover sheet'!$C$5="German",IF(ISERROR(VLOOKUP(F27,'Katalog-Catalogue'!$A$77:$F$173,2,FALSE)),"",S27&amp;" "&amp;VLOOKUP(F27,'Katalog-Catalogue'!$A$77:$F$173,2,FALSE)),IF('Deckblatt-Cover sheet'!$C$5="English",IF(ISERROR(VLOOKUP(F27,'Katalog-Catalogue'!A93:D189,3,FALSE)),"",S27&amp;" "&amp;VLOOKUP(F27,'Katalog-Catalogue'!$A$77:$F$173,3,FALSE)),IF('Deckblatt-Cover sheet'!$C$5="Chinese",IF(ISERROR(VLOOKUP(F27,'Katalog-Catalogue'!A93:D189,4,FALSE)),"",S27&amp;" "&amp;VLOOKUP(F27,'Katalog-Catalogue'!$A$77:$F$173,4,FALSE)))))</f>
        <v/>
      </c>
      <c r="C27" s="328"/>
      <c r="D27" s="328"/>
      <c r="E27" s="329"/>
      <c r="F27" s="97"/>
      <c r="G27" s="330"/>
      <c r="H27" s="331"/>
      <c r="I27" s="331"/>
      <c r="J27" s="331"/>
      <c r="K27" s="331"/>
      <c r="L27" s="98"/>
      <c r="M27" s="112" t="s">
        <v>5</v>
      </c>
      <c r="N27" s="99"/>
      <c r="O27" s="94">
        <f t="shared" si="0"/>
        <v>0</v>
      </c>
      <c r="P27" s="113" t="s">
        <v>5</v>
      </c>
      <c r="Q27" s="95">
        <f t="shared" si="1"/>
        <v>0</v>
      </c>
      <c r="R27" s="153"/>
      <c r="S27" s="125"/>
      <c r="T27" s="93" t="str">
        <f>IF('Deckblatt-Cover sheet'!$C$5="German",IF(ISERROR(VLOOKUP(F27,'Katalog-Catalogue'!$A$77:$J$173,6,FALSE)),"",VLOOKUP(F27,'Katalog-Catalogue'!$A$77:$J$173,6,FALSE)),IF('Deckblatt-Cover sheet'!$C$5="English",IF(ISERROR(VLOOKUP(F27,'Katalog-Catalogue'!$A$77:$J$173,8,FALSE)),"",VLOOKUP(F27,'Katalog-Catalogue'!$A$77:$J$173,8,FALSE)),IF('Deckblatt-Cover sheet'!$C$5="Chinese",IF(ISERROR(VLOOKUP(F27,'Katalog-Catalogue'!$A$77:$J$173,10,FALSE)),"",VLOOKUP(F27,'Katalog-Catalogue'!$A$77:$J$173,10,FALSE)))))</f>
        <v/>
      </c>
      <c r="U27" s="93"/>
      <c r="V27" s="93"/>
      <c r="W27" s="93"/>
      <c r="X27" s="93"/>
      <c r="Y27" s="93"/>
      <c r="Z27" s="93"/>
      <c r="AA27" s="93"/>
      <c r="AB27" s="93"/>
      <c r="AC27" s="93"/>
      <c r="AD27" s="93"/>
    </row>
    <row r="28" spans="1:30" ht="13.15">
      <c r="A28" s="96">
        <v>21</v>
      </c>
      <c r="B28" s="327" t="str">
        <f>IF('Deckblatt-Cover sheet'!$C$5="German",IF(ISERROR(VLOOKUP(F28,'Katalog-Catalogue'!$A$77:$F$173,2,FALSE)),"",S28&amp;" "&amp;VLOOKUP(F28,'Katalog-Catalogue'!$A$77:$F$173,2,FALSE)),IF('Deckblatt-Cover sheet'!$C$5="English",IF(ISERROR(VLOOKUP(F28,'Katalog-Catalogue'!A94:D190,3,FALSE)),"",S28&amp;" "&amp;VLOOKUP(F28,'Katalog-Catalogue'!$A$77:$F$173,3,FALSE)),IF('Deckblatt-Cover sheet'!$C$5="Chinese",IF(ISERROR(VLOOKUP(F28,'Katalog-Catalogue'!A94:D190,4,FALSE)),"",S28&amp;" "&amp;VLOOKUP(F28,'Katalog-Catalogue'!$A$77:$F$173,4,FALSE)))))</f>
        <v/>
      </c>
      <c r="C28" s="328"/>
      <c r="D28" s="328"/>
      <c r="E28" s="329"/>
      <c r="F28" s="97"/>
      <c r="G28" s="330"/>
      <c r="H28" s="331"/>
      <c r="I28" s="331"/>
      <c r="J28" s="331"/>
      <c r="K28" s="331"/>
      <c r="L28" s="98"/>
      <c r="M28" s="112" t="s">
        <v>5</v>
      </c>
      <c r="N28" s="99"/>
      <c r="O28" s="94">
        <f t="shared" si="0"/>
        <v>0</v>
      </c>
      <c r="P28" s="113" t="s">
        <v>5</v>
      </c>
      <c r="Q28" s="95">
        <f t="shared" si="1"/>
        <v>0</v>
      </c>
      <c r="R28" s="153"/>
      <c r="S28" s="125"/>
      <c r="T28" s="93" t="str">
        <f>IF('Deckblatt-Cover sheet'!$C$5="German",IF(ISERROR(VLOOKUP(F28,'Katalog-Catalogue'!$A$77:$J$173,6,FALSE)),"",VLOOKUP(F28,'Katalog-Catalogue'!$A$77:$J$173,6,FALSE)),IF('Deckblatt-Cover sheet'!$C$5="English",IF(ISERROR(VLOOKUP(F28,'Katalog-Catalogue'!$A$77:$J$173,8,FALSE)),"",VLOOKUP(F28,'Katalog-Catalogue'!$A$77:$J$173,8,FALSE)),IF('Deckblatt-Cover sheet'!$C$5="Chinese",IF(ISERROR(VLOOKUP(F28,'Katalog-Catalogue'!$A$77:$J$173,10,FALSE)),"",VLOOKUP(F28,'Katalog-Catalogue'!$A$77:$J$173,10,FALSE)))))</f>
        <v/>
      </c>
      <c r="U28" s="93"/>
      <c r="V28" s="93"/>
      <c r="W28" s="93"/>
      <c r="X28" s="93"/>
      <c r="Y28" s="93"/>
      <c r="Z28" s="93"/>
      <c r="AA28" s="93"/>
      <c r="AB28" s="93"/>
      <c r="AC28" s="93"/>
      <c r="AD28" s="93"/>
    </row>
    <row r="29" spans="1:30" ht="13.15">
      <c r="A29" s="96">
        <v>22</v>
      </c>
      <c r="B29" s="327" t="str">
        <f>IF('Deckblatt-Cover sheet'!$C$5="German",IF(ISERROR(VLOOKUP(F29,'Katalog-Catalogue'!$A$77:$F$173,2,FALSE)),"",S29&amp;" "&amp;VLOOKUP(F29,'Katalog-Catalogue'!$A$77:$F$173,2,FALSE)),IF('Deckblatt-Cover sheet'!$C$5="English",IF(ISERROR(VLOOKUP(F29,'Katalog-Catalogue'!A95:D191,3,FALSE)),"",S29&amp;" "&amp;VLOOKUP(F29,'Katalog-Catalogue'!$A$77:$F$173,3,FALSE)),IF('Deckblatt-Cover sheet'!$C$5="Chinese",IF(ISERROR(VLOOKUP(F29,'Katalog-Catalogue'!A95:D191,4,FALSE)),"",S29&amp;" "&amp;VLOOKUP(F29,'Katalog-Catalogue'!$A$77:$F$173,4,FALSE)))))</f>
        <v/>
      </c>
      <c r="C29" s="328"/>
      <c r="D29" s="328"/>
      <c r="E29" s="329"/>
      <c r="F29" s="97"/>
      <c r="G29" s="330"/>
      <c r="H29" s="331"/>
      <c r="I29" s="331"/>
      <c r="J29" s="331"/>
      <c r="K29" s="331"/>
      <c r="L29" s="98"/>
      <c r="M29" s="112" t="s">
        <v>5</v>
      </c>
      <c r="N29" s="99"/>
      <c r="O29" s="94">
        <f t="shared" si="0"/>
        <v>0</v>
      </c>
      <c r="P29" s="113" t="s">
        <v>5</v>
      </c>
      <c r="Q29" s="95">
        <f t="shared" si="1"/>
        <v>0</v>
      </c>
      <c r="R29" s="153"/>
      <c r="S29" s="125"/>
      <c r="T29" s="93" t="str">
        <f>IF('Deckblatt-Cover sheet'!$C$5="German",IF(ISERROR(VLOOKUP(F29,'Katalog-Catalogue'!$A$77:$J$173,6,FALSE)),"",VLOOKUP(F29,'Katalog-Catalogue'!$A$77:$J$173,6,FALSE)),IF('Deckblatt-Cover sheet'!$C$5="English",IF(ISERROR(VLOOKUP(F29,'Katalog-Catalogue'!$A$77:$J$173,8,FALSE)),"",VLOOKUP(F29,'Katalog-Catalogue'!$A$77:$J$173,8,FALSE)),IF('Deckblatt-Cover sheet'!$C$5="Chinese",IF(ISERROR(VLOOKUP(F29,'Katalog-Catalogue'!$A$77:$J$173,10,FALSE)),"",VLOOKUP(F29,'Katalog-Catalogue'!$A$77:$J$173,10,FALSE)))))</f>
        <v/>
      </c>
      <c r="U29" s="93"/>
      <c r="V29" s="93"/>
      <c r="W29" s="93"/>
      <c r="X29" s="93"/>
      <c r="Y29" s="93"/>
      <c r="Z29" s="93"/>
      <c r="AA29" s="93"/>
      <c r="AB29" s="93"/>
      <c r="AC29" s="93"/>
      <c r="AD29" s="93"/>
    </row>
    <row r="30" spans="1:30" ht="13.15">
      <c r="A30" s="96">
        <v>23</v>
      </c>
      <c r="B30" s="327" t="str">
        <f>IF('Deckblatt-Cover sheet'!$C$5="German",IF(ISERROR(VLOOKUP(F30,'Katalog-Catalogue'!$A$77:$F$173,2,FALSE)),"",S30&amp;" "&amp;VLOOKUP(F30,'Katalog-Catalogue'!$A$77:$F$173,2,FALSE)),IF('Deckblatt-Cover sheet'!$C$5="English",IF(ISERROR(VLOOKUP(F30,'Katalog-Catalogue'!A96:D192,3,FALSE)),"",S30&amp;" "&amp;VLOOKUP(F30,'Katalog-Catalogue'!$A$77:$F$173,3,FALSE)),IF('Deckblatt-Cover sheet'!$C$5="Chinese",IF(ISERROR(VLOOKUP(F30,'Katalog-Catalogue'!A96:D192,4,FALSE)),"",S30&amp;" "&amp;VLOOKUP(F30,'Katalog-Catalogue'!$A$77:$F$173,4,FALSE)))))</f>
        <v/>
      </c>
      <c r="C30" s="328"/>
      <c r="D30" s="328"/>
      <c r="E30" s="329"/>
      <c r="F30" s="97"/>
      <c r="G30" s="330"/>
      <c r="H30" s="331"/>
      <c r="I30" s="331"/>
      <c r="J30" s="331"/>
      <c r="K30" s="331"/>
      <c r="L30" s="98"/>
      <c r="M30" s="112" t="s">
        <v>5</v>
      </c>
      <c r="N30" s="99"/>
      <c r="O30" s="94">
        <f t="shared" si="0"/>
        <v>0</v>
      </c>
      <c r="P30" s="113" t="s">
        <v>5</v>
      </c>
      <c r="Q30" s="95">
        <f t="shared" si="1"/>
        <v>0</v>
      </c>
      <c r="R30" s="153"/>
      <c r="S30" s="125"/>
      <c r="T30" s="93" t="str">
        <f>IF('Deckblatt-Cover sheet'!$C$5="German",IF(ISERROR(VLOOKUP(F30,'Katalog-Catalogue'!$A$77:$J$173,6,FALSE)),"",VLOOKUP(F30,'Katalog-Catalogue'!$A$77:$J$173,6,FALSE)),IF('Deckblatt-Cover sheet'!$C$5="English",IF(ISERROR(VLOOKUP(F30,'Katalog-Catalogue'!$A$77:$J$173,8,FALSE)),"",VLOOKUP(F30,'Katalog-Catalogue'!$A$77:$J$173,8,FALSE)),IF('Deckblatt-Cover sheet'!$C$5="Chinese",IF(ISERROR(VLOOKUP(F30,'Katalog-Catalogue'!$A$77:$J$173,10,FALSE)),"",VLOOKUP(F30,'Katalog-Catalogue'!$A$77:$J$173,10,FALSE)))))</f>
        <v/>
      </c>
      <c r="U30" s="93"/>
      <c r="V30" s="93"/>
      <c r="W30" s="93"/>
      <c r="X30" s="93"/>
      <c r="Y30" s="93"/>
      <c r="Z30" s="93"/>
      <c r="AA30" s="93"/>
      <c r="AB30" s="93"/>
      <c r="AC30" s="93"/>
      <c r="AD30" s="93"/>
    </row>
    <row r="31" spans="1:30" ht="13.15">
      <c r="A31" s="96">
        <v>24</v>
      </c>
      <c r="B31" s="327" t="str">
        <f>IF('Deckblatt-Cover sheet'!$C$5="German",IF(ISERROR(VLOOKUP(F31,'Katalog-Catalogue'!$A$77:$F$173,2,FALSE)),"",S31&amp;" "&amp;VLOOKUP(F31,'Katalog-Catalogue'!$A$77:$F$173,2,FALSE)),IF('Deckblatt-Cover sheet'!$C$5="English",IF(ISERROR(VLOOKUP(F31,'Katalog-Catalogue'!A97:D193,3,FALSE)),"",S31&amp;" "&amp;VLOOKUP(F31,'Katalog-Catalogue'!$A$77:$F$173,3,FALSE)),IF('Deckblatt-Cover sheet'!$C$5="Chinese",IF(ISERROR(VLOOKUP(F31,'Katalog-Catalogue'!A97:D193,4,FALSE)),"",S31&amp;" "&amp;VLOOKUP(F31,'Katalog-Catalogue'!$A$77:$F$173,4,FALSE)))))</f>
        <v/>
      </c>
      <c r="C31" s="328"/>
      <c r="D31" s="328"/>
      <c r="E31" s="329"/>
      <c r="F31" s="97"/>
      <c r="G31" s="330"/>
      <c r="H31" s="331"/>
      <c r="I31" s="331"/>
      <c r="J31" s="331"/>
      <c r="K31" s="331"/>
      <c r="L31" s="98"/>
      <c r="M31" s="112" t="s">
        <v>5</v>
      </c>
      <c r="N31" s="99"/>
      <c r="O31" s="94">
        <f t="shared" si="0"/>
        <v>0</v>
      </c>
      <c r="P31" s="113" t="s">
        <v>5</v>
      </c>
      <c r="Q31" s="95">
        <f t="shared" si="1"/>
        <v>0</v>
      </c>
      <c r="R31" s="153"/>
      <c r="S31" s="125"/>
      <c r="T31" s="93" t="str">
        <f>IF('Deckblatt-Cover sheet'!$C$5="German",IF(ISERROR(VLOOKUP(F31,'Katalog-Catalogue'!$A$77:$J$173,6,FALSE)),"",VLOOKUP(F31,'Katalog-Catalogue'!$A$77:$J$173,6,FALSE)),IF('Deckblatt-Cover sheet'!$C$5="English",IF(ISERROR(VLOOKUP(F31,'Katalog-Catalogue'!$A$77:$J$173,8,FALSE)),"",VLOOKUP(F31,'Katalog-Catalogue'!$A$77:$J$173,8,FALSE)),IF('Deckblatt-Cover sheet'!$C$5="Chinese",IF(ISERROR(VLOOKUP(F31,'Katalog-Catalogue'!$A$77:$J$173,10,FALSE)),"",VLOOKUP(F31,'Katalog-Catalogue'!$A$77:$J$173,10,FALSE)))))</f>
        <v/>
      </c>
      <c r="U31" s="93"/>
      <c r="V31" s="93"/>
      <c r="W31" s="93"/>
      <c r="X31" s="93"/>
      <c r="Y31" s="93"/>
      <c r="Z31" s="93"/>
      <c r="AA31" s="93"/>
      <c r="AB31" s="93"/>
      <c r="AC31" s="93"/>
      <c r="AD31" s="93"/>
    </row>
    <row r="32" spans="1:30" ht="13.15">
      <c r="A32" s="96">
        <v>25</v>
      </c>
      <c r="B32" s="327" t="str">
        <f>IF('Deckblatt-Cover sheet'!$C$5="German",IF(ISERROR(VLOOKUP(F32,'Katalog-Catalogue'!$A$77:$F$173,2,FALSE)),"",S32&amp;" "&amp;VLOOKUP(F32,'Katalog-Catalogue'!$A$77:$F$173,2,FALSE)),IF('Deckblatt-Cover sheet'!$C$5="English",IF(ISERROR(VLOOKUP(F32,'Katalog-Catalogue'!A98:D194,3,FALSE)),"",S32&amp;" "&amp;VLOOKUP(F32,'Katalog-Catalogue'!$A$77:$F$173,3,FALSE)),IF('Deckblatt-Cover sheet'!$C$5="Chinese",IF(ISERROR(VLOOKUP(F32,'Katalog-Catalogue'!A98:D194,4,FALSE)),"",S32&amp;" "&amp;VLOOKUP(F32,'Katalog-Catalogue'!$A$77:$F$173,4,FALSE)))))</f>
        <v/>
      </c>
      <c r="C32" s="328"/>
      <c r="D32" s="328"/>
      <c r="E32" s="329"/>
      <c r="F32" s="97"/>
      <c r="G32" s="330"/>
      <c r="H32" s="331"/>
      <c r="I32" s="331"/>
      <c r="J32" s="331"/>
      <c r="K32" s="331"/>
      <c r="L32" s="98"/>
      <c r="M32" s="112" t="s">
        <v>5</v>
      </c>
      <c r="N32" s="99"/>
      <c r="O32" s="94">
        <f t="shared" si="0"/>
        <v>0</v>
      </c>
      <c r="P32" s="113" t="s">
        <v>5</v>
      </c>
      <c r="Q32" s="95">
        <f t="shared" si="1"/>
        <v>0</v>
      </c>
      <c r="R32" s="153"/>
      <c r="S32" s="125"/>
      <c r="T32" s="93" t="str">
        <f>IF('Deckblatt-Cover sheet'!$C$5="German",IF(ISERROR(VLOOKUP(F32,'Katalog-Catalogue'!$A$77:$J$173,6,FALSE)),"",VLOOKUP(F32,'Katalog-Catalogue'!$A$77:$J$173,6,FALSE)),IF('Deckblatt-Cover sheet'!$C$5="English",IF(ISERROR(VLOOKUP(F32,'Katalog-Catalogue'!$A$77:$J$173,8,FALSE)),"",VLOOKUP(F32,'Katalog-Catalogue'!$A$77:$J$173,8,FALSE)),IF('Deckblatt-Cover sheet'!$C$5="Chinese",IF(ISERROR(VLOOKUP(F32,'Katalog-Catalogue'!$A$77:$J$173,10,FALSE)),"",VLOOKUP(F32,'Katalog-Catalogue'!$A$77:$J$173,10,FALSE)))))</f>
        <v/>
      </c>
      <c r="U32" s="93"/>
      <c r="V32" s="93"/>
      <c r="W32" s="93"/>
      <c r="X32" s="93"/>
      <c r="Y32" s="93"/>
      <c r="Z32" s="93"/>
      <c r="AA32" s="93"/>
      <c r="AB32" s="93"/>
      <c r="AC32" s="93"/>
      <c r="AD32" s="93"/>
    </row>
    <row r="33" spans="1:30" ht="13.15">
      <c r="A33" s="96">
        <v>26</v>
      </c>
      <c r="B33" s="327" t="str">
        <f>IF('Deckblatt-Cover sheet'!$C$5="German",IF(ISERROR(VLOOKUP(F33,'Katalog-Catalogue'!$A$77:$F$173,2,FALSE)),"",S33&amp;" "&amp;VLOOKUP(F33,'Katalog-Catalogue'!$A$77:$F$173,2,FALSE)),IF('Deckblatt-Cover sheet'!$C$5="English",IF(ISERROR(VLOOKUP(F33,'Katalog-Catalogue'!A99:D195,3,FALSE)),"",S33&amp;" "&amp;VLOOKUP(F33,'Katalog-Catalogue'!$A$77:$F$173,3,FALSE)),IF('Deckblatt-Cover sheet'!$C$5="Chinese",IF(ISERROR(VLOOKUP(F33,'Katalog-Catalogue'!A99:D195,4,FALSE)),"",S33&amp;" "&amp;VLOOKUP(F33,'Katalog-Catalogue'!$A$77:$F$173,4,FALSE)))))</f>
        <v/>
      </c>
      <c r="C33" s="328"/>
      <c r="D33" s="328"/>
      <c r="E33" s="329"/>
      <c r="F33" s="97"/>
      <c r="G33" s="330"/>
      <c r="H33" s="331"/>
      <c r="I33" s="331"/>
      <c r="J33" s="331"/>
      <c r="K33" s="331"/>
      <c r="L33" s="98"/>
      <c r="M33" s="112" t="s">
        <v>5</v>
      </c>
      <c r="N33" s="99"/>
      <c r="O33" s="94">
        <f t="shared" si="0"/>
        <v>0</v>
      </c>
      <c r="P33" s="113" t="s">
        <v>5</v>
      </c>
      <c r="Q33" s="95">
        <f t="shared" si="1"/>
        <v>0</v>
      </c>
      <c r="R33" s="153"/>
      <c r="S33" s="125"/>
      <c r="T33" s="93" t="str">
        <f>IF('Deckblatt-Cover sheet'!$C$5="German",IF(ISERROR(VLOOKUP(F33,'Katalog-Catalogue'!$A$77:$J$173,6,FALSE)),"",VLOOKUP(F33,'Katalog-Catalogue'!$A$77:$J$173,6,FALSE)),IF('Deckblatt-Cover sheet'!$C$5="English",IF(ISERROR(VLOOKUP(F33,'Katalog-Catalogue'!$A$77:$J$173,8,FALSE)),"",VLOOKUP(F33,'Katalog-Catalogue'!$A$77:$J$173,8,FALSE)),IF('Deckblatt-Cover sheet'!$C$5="Chinese",IF(ISERROR(VLOOKUP(F33,'Katalog-Catalogue'!$A$77:$J$173,10,FALSE)),"",VLOOKUP(F33,'Katalog-Catalogue'!$A$77:$J$173,10,FALSE)))))</f>
        <v/>
      </c>
      <c r="U33" s="93"/>
      <c r="V33" s="93"/>
      <c r="W33" s="93"/>
      <c r="X33" s="93"/>
      <c r="Y33" s="93"/>
      <c r="Z33" s="93"/>
      <c r="AA33" s="93"/>
      <c r="AB33" s="93"/>
      <c r="AC33" s="93"/>
      <c r="AD33" s="93"/>
    </row>
    <row r="34" spans="1:30" ht="13.15">
      <c r="A34" s="96">
        <v>27</v>
      </c>
      <c r="B34" s="327" t="str">
        <f>IF('Deckblatt-Cover sheet'!$C$5="German",IF(ISERROR(VLOOKUP(F34,'Katalog-Catalogue'!$A$77:$F$173,2,FALSE)),"",S34&amp;" "&amp;VLOOKUP(F34,'Katalog-Catalogue'!$A$77:$F$173,2,FALSE)),IF('Deckblatt-Cover sheet'!$C$5="English",IF(ISERROR(VLOOKUP(F34,'Katalog-Catalogue'!A100:D196,3,FALSE)),"",S34&amp;" "&amp;VLOOKUP(F34,'Katalog-Catalogue'!$A$77:$F$173,3,FALSE)),IF('Deckblatt-Cover sheet'!$C$5="Chinese",IF(ISERROR(VLOOKUP(F34,'Katalog-Catalogue'!A100:D196,4,FALSE)),"",S34&amp;" "&amp;VLOOKUP(F34,'Katalog-Catalogue'!$A$77:$F$173,4,FALSE)))))</f>
        <v/>
      </c>
      <c r="C34" s="328"/>
      <c r="D34" s="328"/>
      <c r="E34" s="329"/>
      <c r="F34" s="97"/>
      <c r="G34" s="330"/>
      <c r="H34" s="331"/>
      <c r="I34" s="331"/>
      <c r="J34" s="331"/>
      <c r="K34" s="331"/>
      <c r="L34" s="98"/>
      <c r="M34" s="112" t="s">
        <v>5</v>
      </c>
      <c r="N34" s="99"/>
      <c r="O34" s="94">
        <f t="shared" si="0"/>
        <v>0</v>
      </c>
      <c r="P34" s="113" t="s">
        <v>5</v>
      </c>
      <c r="Q34" s="95">
        <f t="shared" si="1"/>
        <v>0</v>
      </c>
      <c r="R34" s="153"/>
      <c r="S34" s="125"/>
      <c r="T34" s="93" t="str">
        <f>IF('Deckblatt-Cover sheet'!$C$5="German",IF(ISERROR(VLOOKUP(F34,'Katalog-Catalogue'!$A$77:$J$173,6,FALSE)),"",VLOOKUP(F34,'Katalog-Catalogue'!$A$77:$J$173,6,FALSE)),IF('Deckblatt-Cover sheet'!$C$5="English",IF(ISERROR(VLOOKUP(F34,'Katalog-Catalogue'!$A$77:$J$173,8,FALSE)),"",VLOOKUP(F34,'Katalog-Catalogue'!$A$77:$J$173,8,FALSE)),IF('Deckblatt-Cover sheet'!$C$5="Chinese",IF(ISERROR(VLOOKUP(F34,'Katalog-Catalogue'!$A$77:$J$173,10,FALSE)),"",VLOOKUP(F34,'Katalog-Catalogue'!$A$77:$J$173,10,FALSE)))))</f>
        <v/>
      </c>
      <c r="U34" s="93"/>
      <c r="V34" s="93"/>
      <c r="W34" s="93"/>
      <c r="X34" s="93"/>
      <c r="Y34" s="93"/>
      <c r="Z34" s="93"/>
      <c r="AA34" s="93"/>
      <c r="AB34" s="93"/>
      <c r="AC34" s="93"/>
      <c r="AD34" s="93"/>
    </row>
    <row r="35" spans="1:30" ht="13.15">
      <c r="A35" s="96">
        <v>28</v>
      </c>
      <c r="B35" s="327" t="str">
        <f>IF('Deckblatt-Cover sheet'!$C$5="German",IF(ISERROR(VLOOKUP(F35,'Katalog-Catalogue'!$A$77:$F$173,2,FALSE)),"",S35&amp;" "&amp;VLOOKUP(F35,'Katalog-Catalogue'!$A$77:$F$173,2,FALSE)),IF('Deckblatt-Cover sheet'!$C$5="English",IF(ISERROR(VLOOKUP(F35,'Katalog-Catalogue'!A101:D197,3,FALSE)),"",S35&amp;" "&amp;VLOOKUP(F35,'Katalog-Catalogue'!$A$77:$F$173,3,FALSE)),IF('Deckblatt-Cover sheet'!$C$5="Chinese",IF(ISERROR(VLOOKUP(F35,'Katalog-Catalogue'!A101:D197,4,FALSE)),"",S35&amp;" "&amp;VLOOKUP(F35,'Katalog-Catalogue'!$A$77:$F$173,4,FALSE)))))</f>
        <v/>
      </c>
      <c r="C35" s="328"/>
      <c r="D35" s="328"/>
      <c r="E35" s="329"/>
      <c r="F35" s="97"/>
      <c r="G35" s="330"/>
      <c r="H35" s="331"/>
      <c r="I35" s="331"/>
      <c r="J35" s="331"/>
      <c r="K35" s="331"/>
      <c r="L35" s="98"/>
      <c r="M35" s="112" t="s">
        <v>5</v>
      </c>
      <c r="N35" s="99"/>
      <c r="O35" s="94">
        <f t="shared" si="0"/>
        <v>0</v>
      </c>
      <c r="P35" s="113" t="s">
        <v>5</v>
      </c>
      <c r="Q35" s="95">
        <f t="shared" si="1"/>
        <v>0</v>
      </c>
      <c r="R35" s="153"/>
      <c r="S35" s="125"/>
      <c r="T35" s="93" t="str">
        <f>IF('Deckblatt-Cover sheet'!$C$5="German",IF(ISERROR(VLOOKUP(F35,'Katalog-Catalogue'!$A$77:$J$173,6,FALSE)),"",VLOOKUP(F35,'Katalog-Catalogue'!$A$77:$J$173,6,FALSE)),IF('Deckblatt-Cover sheet'!$C$5="English",IF(ISERROR(VLOOKUP(F35,'Katalog-Catalogue'!$A$77:$J$173,8,FALSE)),"",VLOOKUP(F35,'Katalog-Catalogue'!$A$77:$J$173,8,FALSE)),IF('Deckblatt-Cover sheet'!$C$5="Chinese",IF(ISERROR(VLOOKUP(F35,'Katalog-Catalogue'!$A$77:$J$173,10,FALSE)),"",VLOOKUP(F35,'Katalog-Catalogue'!$A$77:$J$173,10,FALSE)))))</f>
        <v/>
      </c>
      <c r="U35" s="93"/>
      <c r="V35" s="93"/>
      <c r="W35" s="93"/>
      <c r="X35" s="93"/>
      <c r="Y35" s="93"/>
      <c r="Z35" s="93"/>
      <c r="AA35" s="93"/>
      <c r="AB35" s="93"/>
      <c r="AC35" s="93"/>
      <c r="AD35" s="93"/>
    </row>
    <row r="36" spans="1:30" ht="13.15">
      <c r="A36" s="96">
        <v>29</v>
      </c>
      <c r="B36" s="327" t="str">
        <f>IF('Deckblatt-Cover sheet'!$C$5="German",IF(ISERROR(VLOOKUP(F36,'Katalog-Catalogue'!$A$77:$F$173,2,FALSE)),"",S36&amp;" "&amp;VLOOKUP(F36,'Katalog-Catalogue'!$A$77:$F$173,2,FALSE)),IF('Deckblatt-Cover sheet'!$C$5="English",IF(ISERROR(VLOOKUP(F36,'Katalog-Catalogue'!A102:D198,3,FALSE)),"",S36&amp;" "&amp;VLOOKUP(F36,'Katalog-Catalogue'!$A$77:$F$173,3,FALSE)),IF('Deckblatt-Cover sheet'!$C$5="Chinese",IF(ISERROR(VLOOKUP(F36,'Katalog-Catalogue'!A102:D198,4,FALSE)),"",S36&amp;" "&amp;VLOOKUP(F36,'Katalog-Catalogue'!$A$77:$F$173,4,FALSE)))))</f>
        <v/>
      </c>
      <c r="C36" s="328"/>
      <c r="D36" s="328"/>
      <c r="E36" s="329"/>
      <c r="F36" s="97"/>
      <c r="G36" s="330"/>
      <c r="H36" s="331"/>
      <c r="I36" s="331"/>
      <c r="J36" s="331"/>
      <c r="K36" s="331"/>
      <c r="L36" s="98"/>
      <c r="M36" s="112" t="s">
        <v>5</v>
      </c>
      <c r="N36" s="99"/>
      <c r="O36" s="94">
        <f t="shared" si="0"/>
        <v>0</v>
      </c>
      <c r="P36" s="113" t="s">
        <v>5</v>
      </c>
      <c r="Q36" s="95">
        <f t="shared" si="1"/>
        <v>0</v>
      </c>
      <c r="R36" s="153"/>
      <c r="S36" s="125"/>
      <c r="T36" s="93" t="str">
        <f>IF('Deckblatt-Cover sheet'!$C$5="German",IF(ISERROR(VLOOKUP(F36,'Katalog-Catalogue'!$A$77:$J$173,6,FALSE)),"",VLOOKUP(F36,'Katalog-Catalogue'!$A$77:$J$173,6,FALSE)),IF('Deckblatt-Cover sheet'!$C$5="English",IF(ISERROR(VLOOKUP(F36,'Katalog-Catalogue'!$A$77:$J$173,8,FALSE)),"",VLOOKUP(F36,'Katalog-Catalogue'!$A$77:$J$173,8,FALSE)),IF('Deckblatt-Cover sheet'!$C$5="Chinese",IF(ISERROR(VLOOKUP(F36,'Katalog-Catalogue'!$A$77:$J$173,10,FALSE)),"",VLOOKUP(F36,'Katalog-Catalogue'!$A$77:$J$173,10,FALSE)))))</f>
        <v/>
      </c>
      <c r="U36" s="93"/>
      <c r="V36" s="93"/>
      <c r="W36" s="93"/>
      <c r="X36" s="93"/>
      <c r="Y36" s="93"/>
      <c r="Z36" s="93"/>
      <c r="AA36" s="93"/>
      <c r="AB36" s="93"/>
      <c r="AC36" s="93"/>
      <c r="AD36" s="93"/>
    </row>
    <row r="37" spans="1:30" ht="13.15">
      <c r="A37" s="100">
        <v>30</v>
      </c>
      <c r="B37" s="327" t="str">
        <f>IF('Deckblatt-Cover sheet'!$C$5="German",IF(ISERROR(VLOOKUP(F37,'Katalog-Catalogue'!$A$77:$F$173,2,FALSE)),"",S37&amp;" "&amp;VLOOKUP(F37,'Katalog-Catalogue'!$A$77:$F$173,2,FALSE)),IF('Deckblatt-Cover sheet'!$C$5="English",IF(ISERROR(VLOOKUP(F37,'Katalog-Catalogue'!A103:D199,3,FALSE)),"",S37&amp;" "&amp;VLOOKUP(F37,'Katalog-Catalogue'!$A$77:$F$173,3,FALSE)),IF('Deckblatt-Cover sheet'!$C$5="Chinese",IF(ISERROR(VLOOKUP(F37,'Katalog-Catalogue'!A103:D199,4,FALSE)),"",S37&amp;" "&amp;VLOOKUP(F37,'Katalog-Catalogue'!$A$77:$F$173,4,FALSE)))))</f>
        <v/>
      </c>
      <c r="C37" s="328"/>
      <c r="D37" s="328"/>
      <c r="E37" s="329"/>
      <c r="F37" s="97"/>
      <c r="G37" s="330"/>
      <c r="H37" s="331"/>
      <c r="I37" s="331"/>
      <c r="J37" s="331"/>
      <c r="K37" s="331"/>
      <c r="L37" s="98"/>
      <c r="M37" s="112" t="s">
        <v>5</v>
      </c>
      <c r="N37" s="99"/>
      <c r="O37" s="94">
        <f t="shared" si="0"/>
        <v>0</v>
      </c>
      <c r="P37" s="113" t="s">
        <v>5</v>
      </c>
      <c r="Q37" s="95">
        <f t="shared" si="1"/>
        <v>0</v>
      </c>
      <c r="R37" s="153"/>
      <c r="S37" s="125"/>
      <c r="T37" s="93" t="str">
        <f>IF('Deckblatt-Cover sheet'!$C$5="German",IF(ISERROR(VLOOKUP(F37,'Katalog-Catalogue'!$A$77:$J$173,6,FALSE)),"",VLOOKUP(F37,'Katalog-Catalogue'!$A$77:$J$173,6,FALSE)),IF('Deckblatt-Cover sheet'!$C$5="English",IF(ISERROR(VLOOKUP(F37,'Katalog-Catalogue'!$A$77:$J$173,8,FALSE)),"",VLOOKUP(F37,'Katalog-Catalogue'!$A$77:$J$173,8,FALSE)),IF('Deckblatt-Cover sheet'!$C$5="Chinese",IF(ISERROR(VLOOKUP(F37,'Katalog-Catalogue'!$A$77:$J$173,10,FALSE)),"",VLOOKUP(F37,'Katalog-Catalogue'!$A$77:$J$173,10,FALSE)))))</f>
        <v/>
      </c>
      <c r="U37" s="93"/>
      <c r="V37" s="93"/>
      <c r="W37" s="93"/>
      <c r="X37" s="93"/>
      <c r="Y37" s="93"/>
      <c r="Z37" s="93"/>
      <c r="AA37" s="93"/>
      <c r="AB37" s="93"/>
      <c r="AC37" s="93"/>
      <c r="AD37" s="93"/>
    </row>
    <row r="38" spans="1:30" ht="13.15">
      <c r="A38" s="101"/>
      <c r="B38" s="65"/>
      <c r="C38" s="65"/>
      <c r="D38" s="65"/>
      <c r="E38" s="54"/>
      <c r="F38" s="102"/>
      <c r="G38" s="51"/>
      <c r="H38" s="51"/>
      <c r="I38" s="51"/>
      <c r="J38" s="51"/>
      <c r="K38" s="51"/>
      <c r="L38" s="103"/>
      <c r="M38" s="104"/>
      <c r="N38" s="103"/>
      <c r="O38" s="103"/>
      <c r="P38" s="104"/>
      <c r="Q38" s="103"/>
      <c r="R38" s="39"/>
      <c r="S38" s="39"/>
      <c r="T38" s="51"/>
      <c r="U38" s="51"/>
      <c r="V38" s="51"/>
      <c r="W38" s="51"/>
      <c r="X38" s="51"/>
      <c r="Y38" s="51"/>
      <c r="Z38" s="51"/>
      <c r="AA38" s="51"/>
      <c r="AB38" s="51"/>
      <c r="AC38" s="51"/>
      <c r="AD38" s="51"/>
    </row>
    <row r="39" spans="1:30" ht="13.9">
      <c r="A39" s="105"/>
      <c r="B39" s="105"/>
      <c r="W39" s="51"/>
      <c r="X39" s="51"/>
      <c r="Y39" s="51"/>
      <c r="Z39" s="51"/>
      <c r="AA39" s="51"/>
      <c r="AB39" s="51"/>
      <c r="AC39" s="51"/>
      <c r="AD39" s="51"/>
    </row>
    <row r="40" spans="1:30" ht="13.15">
      <c r="A40" s="132" t="str">
        <f>HLOOKUP('Deckblatt-Cover sheet'!C5,'Katalog-Catalogue'!$B$2:$D$75,65,FALSE)</f>
        <v>Remarks</v>
      </c>
    </row>
  </sheetData>
  <mergeCells count="87">
    <mergeCell ref="B37:E37"/>
    <mergeCell ref="G37:K37"/>
    <mergeCell ref="B34:E34"/>
    <mergeCell ref="G34:K34"/>
    <mergeCell ref="B35:E35"/>
    <mergeCell ref="G35:K35"/>
    <mergeCell ref="B36:E36"/>
    <mergeCell ref="G36:K36"/>
    <mergeCell ref="B31:E31"/>
    <mergeCell ref="G31:K31"/>
    <mergeCell ref="B32:E32"/>
    <mergeCell ref="G32:K32"/>
    <mergeCell ref="B33:E33"/>
    <mergeCell ref="G33:K33"/>
    <mergeCell ref="B28:E28"/>
    <mergeCell ref="G28:K28"/>
    <mergeCell ref="B29:E29"/>
    <mergeCell ref="G29:K29"/>
    <mergeCell ref="B30:E30"/>
    <mergeCell ref="G30:K30"/>
    <mergeCell ref="B25:E25"/>
    <mergeCell ref="G25:K25"/>
    <mergeCell ref="B26:E26"/>
    <mergeCell ref="G26:K26"/>
    <mergeCell ref="B27:E27"/>
    <mergeCell ref="G27:K27"/>
    <mergeCell ref="B22:E22"/>
    <mergeCell ref="G22:K22"/>
    <mergeCell ref="B23:E23"/>
    <mergeCell ref="G23:K23"/>
    <mergeCell ref="B24:E24"/>
    <mergeCell ref="G24:K24"/>
    <mergeCell ref="B19:E19"/>
    <mergeCell ref="G19:K19"/>
    <mergeCell ref="B20:E20"/>
    <mergeCell ref="G20:K20"/>
    <mergeCell ref="B21:E21"/>
    <mergeCell ref="G21:K21"/>
    <mergeCell ref="B16:E16"/>
    <mergeCell ref="G16:K16"/>
    <mergeCell ref="B17:E17"/>
    <mergeCell ref="G17:K17"/>
    <mergeCell ref="B18:E18"/>
    <mergeCell ref="G18:K18"/>
    <mergeCell ref="B13:E13"/>
    <mergeCell ref="G13:K13"/>
    <mergeCell ref="B14:E14"/>
    <mergeCell ref="G14:K14"/>
    <mergeCell ref="B15:E15"/>
    <mergeCell ref="G15:K15"/>
    <mergeCell ref="B10:E10"/>
    <mergeCell ref="G10:K10"/>
    <mergeCell ref="B11:E11"/>
    <mergeCell ref="G11:K11"/>
    <mergeCell ref="B12:E12"/>
    <mergeCell ref="G12:K12"/>
    <mergeCell ref="U6:AD6"/>
    <mergeCell ref="G7:K7"/>
    <mergeCell ref="B8:E8"/>
    <mergeCell ref="G8:K8"/>
    <mergeCell ref="B9:E9"/>
    <mergeCell ref="G9:K9"/>
    <mergeCell ref="R6:R7"/>
    <mergeCell ref="A6:A7"/>
    <mergeCell ref="B6:E7"/>
    <mergeCell ref="F6:F7"/>
    <mergeCell ref="G6:K6"/>
    <mergeCell ref="L6:N6"/>
    <mergeCell ref="L4:N4"/>
    <mergeCell ref="O4:Q4"/>
    <mergeCell ref="A5:B5"/>
    <mergeCell ref="C5:E5"/>
    <mergeCell ref="F5:G5"/>
    <mergeCell ref="H5:I5"/>
    <mergeCell ref="J5:K5"/>
    <mergeCell ref="L5:N5"/>
    <mergeCell ref="O5:Q5"/>
    <mergeCell ref="A4:B4"/>
    <mergeCell ref="C4:E4"/>
    <mergeCell ref="F4:G4"/>
    <mergeCell ref="H4:I4"/>
    <mergeCell ref="J4:K4"/>
    <mergeCell ref="A3:F3"/>
    <mergeCell ref="G3:K3"/>
    <mergeCell ref="L3:O3"/>
    <mergeCell ref="P3:R3"/>
    <mergeCell ref="A1:I2"/>
  </mergeCells>
  <phoneticPr fontId="33" type="noConversion"/>
  <conditionalFormatting sqref="L9:L36 N9:N36">
    <cfRule type="cellIs" dxfId="71" priority="39" operator="equal">
      <formula>"x"</formula>
    </cfRule>
  </conditionalFormatting>
  <conditionalFormatting sqref="L9:L36 N9:N36">
    <cfRule type="cellIs" dxfId="70" priority="38" operator="equal">
      <formula>0</formula>
    </cfRule>
  </conditionalFormatting>
  <conditionalFormatting sqref="U9:AD36">
    <cfRule type="cellIs" dxfId="69" priority="34" operator="equal">
      <formula>"ok"</formula>
    </cfRule>
    <cfRule type="cellIs" dxfId="68" priority="35" operator="equal">
      <formula>"i.O."</formula>
    </cfRule>
    <cfRule type="cellIs" dxfId="67" priority="36" operator="greaterThan">
      <formula>$N9</formula>
    </cfRule>
    <cfRule type="cellIs" dxfId="66" priority="37" operator="lessThan">
      <formula>$L9</formula>
    </cfRule>
  </conditionalFormatting>
  <conditionalFormatting sqref="G3:K3 P3:S3">
    <cfRule type="cellIs" dxfId="65" priority="33" operator="equal">
      <formula>0</formula>
    </cfRule>
  </conditionalFormatting>
  <conditionalFormatting sqref="C4:E4 R4:S4">
    <cfRule type="cellIs" dxfId="64" priority="32" operator="equal">
      <formula>0</formula>
    </cfRule>
  </conditionalFormatting>
  <conditionalFormatting sqref="N37 L37">
    <cfRule type="cellIs" dxfId="63" priority="30" operator="equal">
      <formula>"x"</formula>
    </cfRule>
  </conditionalFormatting>
  <conditionalFormatting sqref="N37 L37">
    <cfRule type="cellIs" dxfId="62" priority="29" operator="equal">
      <formula>0</formula>
    </cfRule>
  </conditionalFormatting>
  <conditionalFormatting sqref="U37:AD37">
    <cfRule type="cellIs" dxfId="61" priority="25" operator="equal">
      <formula>"ok"</formula>
    </cfRule>
    <cfRule type="cellIs" dxfId="60" priority="26" operator="equal">
      <formula>"i.O."</formula>
    </cfRule>
    <cfRule type="cellIs" dxfId="59" priority="27" operator="greaterThan">
      <formula>$N37</formula>
    </cfRule>
    <cfRule type="cellIs" dxfId="58" priority="28" operator="lessThan">
      <formula>$L37</formula>
    </cfRule>
  </conditionalFormatting>
  <conditionalFormatting sqref="C5:E5 R5:S5">
    <cfRule type="cellIs" dxfId="57" priority="24" operator="equal">
      <formula>0</formula>
    </cfRule>
  </conditionalFormatting>
  <conditionalFormatting sqref="H5:I5">
    <cfRule type="cellIs" dxfId="56" priority="23" operator="equal">
      <formula>"00.01.1900"</formula>
    </cfRule>
  </conditionalFormatting>
  <conditionalFormatting sqref="L4">
    <cfRule type="cellIs" dxfId="55" priority="22" operator="equal">
      <formula>0</formula>
    </cfRule>
  </conditionalFormatting>
  <conditionalFormatting sqref="H4">
    <cfRule type="cellIs" dxfId="54" priority="21" operator="equal">
      <formula>0</formula>
    </cfRule>
  </conditionalFormatting>
  <conditionalFormatting sqref="L8 Q8 N8">
    <cfRule type="cellIs" dxfId="53" priority="15" operator="equal">
      <formula>"x"</formula>
    </cfRule>
  </conditionalFormatting>
  <conditionalFormatting sqref="L8 Q8 N8">
    <cfRule type="cellIs" dxfId="52" priority="14" operator="equal">
      <formula>0</formula>
    </cfRule>
  </conditionalFormatting>
  <conditionalFormatting sqref="U8:AD8">
    <cfRule type="cellIs" dxfId="51" priority="10" operator="equal">
      <formula>"ok"</formula>
    </cfRule>
    <cfRule type="cellIs" dxfId="50" priority="11" operator="equal">
      <formula>"i.O."</formula>
    </cfRule>
    <cfRule type="cellIs" dxfId="49" priority="12" operator="greaterThan">
      <formula>$N8</formula>
    </cfRule>
    <cfRule type="cellIs" dxfId="48" priority="13" operator="lessThan">
      <formula>$L8</formula>
    </cfRule>
  </conditionalFormatting>
  <conditionalFormatting sqref="O8">
    <cfRule type="cellIs" dxfId="47" priority="6" operator="equal">
      <formula>"x"</formula>
    </cfRule>
  </conditionalFormatting>
  <conditionalFormatting sqref="O8">
    <cfRule type="cellIs" dxfId="46" priority="5" operator="equal">
      <formula>0</formula>
    </cfRule>
  </conditionalFormatting>
  <conditionalFormatting sqref="O9:O37">
    <cfRule type="cellIs" dxfId="45" priority="4" operator="equal">
      <formula>"x"</formula>
    </cfRule>
  </conditionalFormatting>
  <conditionalFormatting sqref="O9:O37">
    <cfRule type="cellIs" dxfId="44" priority="3" operator="equal">
      <formula>0</formula>
    </cfRule>
  </conditionalFormatting>
  <conditionalFormatting sqref="Q9:Q37">
    <cfRule type="cellIs" dxfId="43" priority="2" operator="equal">
      <formula>"x"</formula>
    </cfRule>
  </conditionalFormatting>
  <conditionalFormatting sqref="Q9:Q37">
    <cfRule type="cellIs" dxfId="42" priority="1" operator="equal">
      <formula>0</formula>
    </cfRule>
  </conditionalFormatting>
  <pageMargins left="0.70866141732283472" right="0.70866141732283472" top="0.78740157480314965" bottom="0.78740157480314965" header="0.31496062992125984" footer="0.31496062992125984"/>
  <pageSetup paperSize="9" scale="85" orientation="landscape" verticalDpi="598" r:id="rId1"/>
  <colBreaks count="1" manualBreakCount="1">
    <brk id="19" max="1048575" man="1"/>
  </colBreaks>
  <ignoredErrors>
    <ignoredError sqref="U6"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18" operator="equal" id="{B2DE0741-902B-41AD-8E0B-74F8767673C3}">
            <xm:f>'Katalog-Catalogue'!$G$27</xm:f>
            <x14:dxf>
              <font>
                <b/>
                <i val="0"/>
                <color rgb="FF66FF33"/>
              </font>
            </x14:dxf>
          </x14:cfRule>
          <x14:cfRule type="cellIs" priority="19" operator="equal" id="{FDF26A27-A243-49BE-ADEB-13B451FF1A96}">
            <xm:f>'Katalog-Catalogue'!$G$22</xm:f>
            <x14:dxf>
              <font>
                <b/>
                <i val="0"/>
                <color rgb="FF66FF33"/>
              </font>
            </x14:dxf>
          </x14:cfRule>
          <x14:cfRule type="cellIs" priority="20" operator="equal" id="{68EB1506-368A-4490-B16C-5AEE623E85D9}">
            <xm:f>'Katalog-Catalogue'!$G$17</xm:f>
            <x14:dxf>
              <font>
                <b/>
                <i val="0"/>
                <color rgb="FF66FF33"/>
              </font>
            </x14:dxf>
          </x14:cfRule>
          <xm:sqref>R9:R37</xm:sqref>
        </x14:conditionalFormatting>
        <x14:conditionalFormatting xmlns:xm="http://schemas.microsoft.com/office/excel/2006/main">
          <x14:cfRule type="cellIs" priority="7" operator="equal" id="{DC3E7D73-4F1C-4FA2-9D69-F11D91339482}">
            <xm:f>'Katalog-Catalogue'!$G$27</xm:f>
            <x14:dxf>
              <font>
                <b/>
                <i val="0"/>
                <color rgb="FF66FF33"/>
              </font>
            </x14:dxf>
          </x14:cfRule>
          <x14:cfRule type="cellIs" priority="8" operator="equal" id="{D999C1EF-9546-4933-9FD0-8F1D47F4EBD1}">
            <xm:f>'Katalog-Catalogue'!$G$22</xm:f>
            <x14:dxf>
              <font>
                <b/>
                <i val="0"/>
                <color rgb="FF66FF33"/>
              </font>
            </x14:dxf>
          </x14:cfRule>
          <x14:cfRule type="cellIs" priority="9" operator="equal" id="{3EB25346-2D85-4C1E-80F0-055DC932202F}">
            <xm:f>'Katalog-Catalogue'!$G$17</xm:f>
            <x14:dxf>
              <font>
                <b/>
                <i val="0"/>
                <color rgb="FF66FF33"/>
              </font>
            </x14:dxf>
          </x14:cfRule>
          <xm:sqref>R8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E83D5E7-F32C-41FA-A46D-24186074C820}">
          <x14:formula1>
            <xm:f>'Katalog-Catalogue'!$A$77:$A$173</xm:f>
          </x14:formula1>
          <xm:sqref>F8:F37</xm:sqref>
        </x14:dataValidation>
        <x14:dataValidation type="list" allowBlank="1" showInputMessage="1" showErrorMessage="1" xr:uid="{440B6C7E-13F4-425B-94A9-DEDCA02FD332}">
          <x14:formula1>
            <xm:f>'Katalog-Catalogue'!$G$17:$G$31</xm:f>
          </x14:formula1>
          <xm:sqref>R8:R37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97B1C-23DA-4153-81DF-7B06D37B4131}">
  <dimension ref="A1:AD40"/>
  <sheetViews>
    <sheetView zoomScaleNormal="100" workbookViewId="0">
      <selection activeCell="H4" sqref="H4:I4"/>
    </sheetView>
  </sheetViews>
  <sheetFormatPr baseColWidth="10" defaultColWidth="11.3984375" defaultRowHeight="12.75"/>
  <cols>
    <col min="1" max="1" width="7.3984375" customWidth="1"/>
    <col min="2" max="2" width="7.73046875" customWidth="1"/>
    <col min="4" max="4" width="7.3984375" customWidth="1"/>
    <col min="5" max="5" width="7.59765625" customWidth="1"/>
    <col min="6" max="6" width="4.59765625" customWidth="1"/>
    <col min="7" max="7" width="9" customWidth="1"/>
    <col min="8" max="8" width="7.73046875" customWidth="1"/>
    <col min="9" max="9" width="7.59765625" customWidth="1"/>
    <col min="10" max="10" width="10.86328125" customWidth="1"/>
    <col min="11" max="11" width="6.59765625" customWidth="1"/>
    <col min="12" max="12" width="7.59765625" customWidth="1"/>
    <col min="13" max="13" width="3.73046875" customWidth="1"/>
    <col min="14" max="15" width="7.73046875" customWidth="1"/>
    <col min="16" max="16" width="3.73046875" customWidth="1"/>
    <col min="17" max="17" width="7.73046875" customWidth="1"/>
    <col min="18" max="18" width="10" customWidth="1"/>
    <col min="19" max="19" width="6.3984375" hidden="1" customWidth="1"/>
    <col min="20" max="20" width="6.73046875" customWidth="1"/>
  </cols>
  <sheetData>
    <row r="1" spans="1:30" ht="24.75">
      <c r="A1" s="289" t="str">
        <f>'Deckblatt-Cover sheet'!A1</f>
        <v>Fixing systems</v>
      </c>
      <c r="B1" s="290"/>
      <c r="C1" s="290"/>
      <c r="D1" s="290"/>
      <c r="E1" s="290"/>
      <c r="F1" s="290"/>
      <c r="G1" s="290"/>
      <c r="H1" s="290"/>
      <c r="I1" s="290"/>
      <c r="J1" s="118"/>
      <c r="K1" s="118"/>
      <c r="L1" s="118"/>
      <c r="M1" s="118"/>
      <c r="N1" s="118"/>
      <c r="O1" s="118"/>
      <c r="P1" s="118"/>
      <c r="Q1" s="118"/>
      <c r="R1" s="119"/>
      <c r="S1" s="116"/>
      <c r="T1" s="120"/>
      <c r="U1" s="120"/>
      <c r="V1" s="120"/>
      <c r="W1" s="120"/>
      <c r="X1" s="120"/>
      <c r="Y1" s="120"/>
      <c r="Z1" s="120"/>
      <c r="AA1" s="120"/>
      <c r="AB1" s="120"/>
      <c r="AC1" s="120"/>
      <c r="AD1" s="120"/>
    </row>
    <row r="2" spans="1:30" ht="25.15" thickBot="1">
      <c r="A2" s="291"/>
      <c r="B2" s="292"/>
      <c r="C2" s="292"/>
      <c r="D2" s="292"/>
      <c r="E2" s="292"/>
      <c r="F2" s="292"/>
      <c r="G2" s="292"/>
      <c r="H2" s="292"/>
      <c r="I2" s="292"/>
      <c r="J2" s="139"/>
      <c r="K2" s="139"/>
      <c r="L2" s="139"/>
      <c r="M2" s="116"/>
      <c r="N2" s="116"/>
      <c r="O2" s="116"/>
      <c r="P2" s="116"/>
      <c r="Q2" s="116"/>
      <c r="R2" s="117"/>
      <c r="S2" s="116"/>
      <c r="T2" s="121"/>
      <c r="U2" s="121"/>
      <c r="V2" s="121"/>
      <c r="W2" s="121"/>
      <c r="X2" s="121"/>
      <c r="Y2" s="121"/>
      <c r="Z2" s="121"/>
      <c r="AA2" s="121"/>
      <c r="AB2" s="121"/>
      <c r="AC2" s="121"/>
      <c r="AD2" s="121"/>
    </row>
    <row r="3" spans="1:30" ht="18" thickBot="1">
      <c r="A3" s="280" t="str">
        <f>'Deckblatt-Cover sheet'!A5&amp;" "&amp;'Deckblatt-Cover sheet'!D5</f>
        <v>Test report for</v>
      </c>
      <c r="B3" s="281"/>
      <c r="C3" s="281"/>
      <c r="D3" s="281"/>
      <c r="E3" s="281"/>
      <c r="F3" s="282"/>
      <c r="G3" s="339">
        <f>'Deckblatt-Cover sheet'!F5</f>
        <v>0</v>
      </c>
      <c r="H3" s="340"/>
      <c r="I3" s="340"/>
      <c r="J3" s="340"/>
      <c r="K3" s="341"/>
      <c r="L3" s="280" t="str">
        <f>'Deckblatt-Cover sheet'!I5</f>
        <v>fischer article no.</v>
      </c>
      <c r="M3" s="281"/>
      <c r="N3" s="281"/>
      <c r="O3" s="282"/>
      <c r="P3" s="342">
        <f>'Deckblatt-Cover sheet'!N5</f>
        <v>0</v>
      </c>
      <c r="Q3" s="343"/>
      <c r="R3" s="344"/>
      <c r="S3" s="123"/>
      <c r="T3" s="121"/>
      <c r="U3" s="121"/>
      <c r="V3" s="121"/>
      <c r="W3" s="121"/>
      <c r="X3" s="121"/>
      <c r="Y3" s="121"/>
      <c r="Z3" s="121"/>
      <c r="AA3" s="121"/>
      <c r="AB3" s="121"/>
      <c r="AC3" s="121"/>
      <c r="AD3" s="121"/>
    </row>
    <row r="4" spans="1:30" ht="13.15">
      <c r="A4" s="308" t="str">
        <f>'Deckblatt-Cover sheet'!A17</f>
        <v>Drawing no.</v>
      </c>
      <c r="B4" s="309"/>
      <c r="C4" s="338">
        <f>'Deckblatt-Cover sheet'!C17</f>
        <v>0</v>
      </c>
      <c r="D4" s="338"/>
      <c r="E4" s="338"/>
      <c r="F4" s="302" t="str">
        <f>'Deckblatt-Cover sheet'!A18</f>
        <v>Drawing index/date</v>
      </c>
      <c r="G4" s="303"/>
      <c r="H4" s="311">
        <f>'Deckblatt-Cover sheet'!C18</f>
        <v>0</v>
      </c>
      <c r="I4" s="312"/>
      <c r="J4" s="296" t="str">
        <f>'Deckblatt-Cover sheet'!A7</f>
        <v>Supplier</v>
      </c>
      <c r="K4" s="298"/>
      <c r="L4" s="293">
        <f>'Deckblatt-Cover sheet'!B7</f>
        <v>0</v>
      </c>
      <c r="M4" s="294"/>
      <c r="N4" s="295"/>
      <c r="O4" s="296" t="str">
        <f>'Deckblatt-Cover sheet'!A12</f>
        <v>Order-/project no.</v>
      </c>
      <c r="P4" s="297"/>
      <c r="Q4" s="298"/>
      <c r="R4" s="160">
        <f>'Deckblatt-Cover sheet'!C12</f>
        <v>0</v>
      </c>
      <c r="S4" s="124"/>
      <c r="T4" s="121"/>
      <c r="U4" s="121"/>
      <c r="V4" s="121"/>
      <c r="W4" s="121"/>
      <c r="X4" s="121"/>
      <c r="Y4" s="121"/>
      <c r="Z4" s="121"/>
      <c r="AA4" s="121"/>
      <c r="AB4" s="121"/>
      <c r="AC4" s="121"/>
      <c r="AD4" s="121"/>
    </row>
    <row r="5" spans="1:30" ht="13.5" thickBot="1">
      <c r="A5" s="299" t="str">
        <f>HLOOKUP('Deckblatt-Cover sheet'!C5,'Katalog-Catalogue'!$A$2:$D$75,14,FALSE)</f>
        <v>Test by:</v>
      </c>
      <c r="B5" s="300"/>
      <c r="C5" s="335"/>
      <c r="D5" s="335"/>
      <c r="E5" s="335"/>
      <c r="F5" s="302" t="str">
        <f>HLOOKUP('Deckblatt-Cover sheet'!C5,'Katalog-Catalogue'!$A$2:$D$75,19,FALSE)</f>
        <v>Test date:</v>
      </c>
      <c r="G5" s="303"/>
      <c r="H5" s="304"/>
      <c r="I5" s="305"/>
      <c r="J5" s="296" t="str">
        <f>HLOOKUP('Deckblatt-Cover sheet'!C5,'Katalog-Catalogue'!$A$2:$D$75,23,FALSE)</f>
        <v>Checked by:</v>
      </c>
      <c r="K5" s="298"/>
      <c r="L5" s="336"/>
      <c r="M5" s="336"/>
      <c r="N5" s="337"/>
      <c r="O5" s="296" t="str">
        <f>HLOOKUP('Deckblatt-Cover sheet'!C5,'Katalog-Catalogue'!$A$2:$D$75,47,FALSE)</f>
        <v>Check date:</v>
      </c>
      <c r="P5" s="297"/>
      <c r="Q5" s="298"/>
      <c r="R5" s="161"/>
      <c r="S5" s="124"/>
      <c r="T5" s="122"/>
      <c r="U5" s="121"/>
      <c r="V5" s="121"/>
      <c r="W5" s="121"/>
      <c r="X5" s="121"/>
      <c r="Y5" s="121"/>
      <c r="Z5" s="121"/>
      <c r="AA5" s="121"/>
      <c r="AB5" s="121"/>
      <c r="AC5" s="121"/>
      <c r="AD5" s="121"/>
    </row>
    <row r="6" spans="1:30" ht="13.9">
      <c r="A6" s="313" t="str">
        <f>HLOOKUP('Deckblatt-Cover sheet'!C5,'Katalog-Catalogue'!$B$2:$D$75,34,FALSE)</f>
        <v>No.</v>
      </c>
      <c r="B6" s="315" t="str">
        <f>HLOOKUP('Deckblatt-Cover sheet'!C5,'Katalog-Catalogue'!$B$2:$D$75,30,FALSE)</f>
        <v>Test characteristic</v>
      </c>
      <c r="C6" s="316"/>
      <c r="D6" s="316"/>
      <c r="E6" s="317"/>
      <c r="F6" s="321" t="str">
        <f>HLOOKUP('Deckblatt-Cover sheet'!C5,'Katalog-Catalogue'!$B$2:$D$75,31,FALSE)</f>
        <v>Cat no.</v>
      </c>
      <c r="G6" s="315" t="str">
        <f>HLOOKUP('Deckblatt-Cover sheet'!C5,'Katalog-Catalogue'!$B$2:$D$75,36,FALSE)</f>
        <v>drawing notes</v>
      </c>
      <c r="H6" s="316"/>
      <c r="I6" s="316"/>
      <c r="J6" s="316"/>
      <c r="K6" s="316"/>
      <c r="L6" s="334" t="str">
        <f>HLOOKUP('Deckblatt-Cover sheet'!C5,'Katalog-Catalogue'!$B$2:$D$75,37,FALSE)</f>
        <v xml:space="preserve">Specified value </v>
      </c>
      <c r="M6" s="334"/>
      <c r="N6" s="334"/>
      <c r="O6" s="106"/>
      <c r="P6" s="146" t="str">
        <f>HLOOKUP('Deckblatt-Cover sheet'!C5,'Katalog-Catalogue'!$B$2:$D$75,38,FALSE)</f>
        <v xml:space="preserve">Actual values </v>
      </c>
      <c r="Q6" s="107"/>
      <c r="R6" s="332" t="str">
        <f>HLOOKUP('Deckblatt-Cover sheet'!C5,'Katalog-Catalogue'!$B$2:$D$75,39,FALSE)</f>
        <v>Result</v>
      </c>
      <c r="S6" s="144"/>
      <c r="T6" s="115" t="str">
        <f>HLOOKUP('Deckblatt-Cover sheet'!C5,'Katalog-Catalogue'!$B$2:$D$75,32,FALSE)</f>
        <v>Test</v>
      </c>
      <c r="U6" s="324" t="str">
        <f>P6</f>
        <v xml:space="preserve">Actual values </v>
      </c>
      <c r="V6" s="325"/>
      <c r="W6" s="325"/>
      <c r="X6" s="325"/>
      <c r="Y6" s="325"/>
      <c r="Z6" s="325"/>
      <c r="AA6" s="325"/>
      <c r="AB6" s="325"/>
      <c r="AC6" s="325"/>
      <c r="AD6" s="326"/>
    </row>
    <row r="7" spans="1:30" ht="13.5" thickBot="1">
      <c r="A7" s="314"/>
      <c r="B7" s="318"/>
      <c r="C7" s="319"/>
      <c r="D7" s="319"/>
      <c r="E7" s="320"/>
      <c r="F7" s="322"/>
      <c r="G7" s="318" t="str">
        <f>HLOOKUP('Deckblatt-Cover sheet'!C5,'Katalog-Catalogue'!$B$2:$D$75,51,FALSE)</f>
        <v>(Specified text)</v>
      </c>
      <c r="H7" s="319"/>
      <c r="I7" s="319"/>
      <c r="J7" s="319"/>
      <c r="K7" s="319"/>
      <c r="L7" s="108" t="str">
        <f>HLOOKUP('Deckblatt-Cover sheet'!C5,'Katalog-Catalogue'!$B$2:$D$75,73,FALSE)</f>
        <v>min</v>
      </c>
      <c r="M7" s="109"/>
      <c r="N7" s="110" t="str">
        <f>HLOOKUP('Deckblatt-Cover sheet'!C5,'Katalog-Catalogue'!$B$2:$D$75,74,FALSE)</f>
        <v>max</v>
      </c>
      <c r="O7" s="108" t="str">
        <f>HLOOKUP('Deckblatt-Cover sheet'!C5,'Katalog-Catalogue'!$B$2:$D$75,73,FALSE)</f>
        <v>min</v>
      </c>
      <c r="P7" s="111"/>
      <c r="Q7" s="110" t="str">
        <f>HLOOKUP('Deckblatt-Cover sheet'!C5,'Katalog-Catalogue'!$B$2:$D$75,74,FALSE)</f>
        <v>max</v>
      </c>
      <c r="R7" s="333"/>
      <c r="S7" s="145"/>
      <c r="T7" s="114" t="str">
        <f>HLOOKUP('Deckblatt-Cover sheet'!C5,'Katalog-Catalogue'!$B$2:$D$75,33,FALSE)</f>
        <v>equip.</v>
      </c>
      <c r="U7" s="93">
        <v>1</v>
      </c>
      <c r="V7" s="93">
        <v>2</v>
      </c>
      <c r="W7" s="93">
        <v>3</v>
      </c>
      <c r="X7" s="93">
        <v>4</v>
      </c>
      <c r="Y7" s="93">
        <v>5</v>
      </c>
      <c r="Z7" s="93">
        <v>6</v>
      </c>
      <c r="AA7" s="93">
        <v>7</v>
      </c>
      <c r="AB7" s="93">
        <v>8</v>
      </c>
      <c r="AC7" s="93">
        <v>9</v>
      </c>
      <c r="AD7" s="93">
        <v>10</v>
      </c>
    </row>
    <row r="8" spans="1:30" ht="13.15">
      <c r="A8" s="96">
        <v>1</v>
      </c>
      <c r="B8" s="327" t="str">
        <f>IF('Deckblatt-Cover sheet'!$C$5="German",IF(ISERROR(VLOOKUP(F8,'Katalog-Catalogue'!$A$77:$F$173,2,FALSE)),"",S8&amp;" "&amp;VLOOKUP(F8,'Katalog-Catalogue'!$A$77:$F$173,2,FALSE)),IF('Deckblatt-Cover sheet'!$C$5="English",IF(ISERROR(VLOOKUP(F8,'Katalog-Catalogue'!A74:D170,3,FALSE)),"",S8&amp;" "&amp;VLOOKUP(F8,'Katalog-Catalogue'!$A$77:$F$173,3,FALSE)),IF('Deckblatt-Cover sheet'!$C$5="Chinese",IF(ISERROR(VLOOKUP(F8,'Katalog-Catalogue'!A74:D170,4,FALSE)),"",S8&amp;" "&amp;VLOOKUP(F8,'Katalog-Catalogue'!$A$77:$F$173,4,FALSE)))))</f>
        <v/>
      </c>
      <c r="C8" s="328"/>
      <c r="D8" s="328"/>
      <c r="E8" s="329"/>
      <c r="F8" s="97"/>
      <c r="G8" s="330"/>
      <c r="H8" s="331"/>
      <c r="I8" s="331"/>
      <c r="J8" s="331"/>
      <c r="K8" s="331"/>
      <c r="L8" s="98"/>
      <c r="M8" s="112" t="s">
        <v>5</v>
      </c>
      <c r="N8" s="99"/>
      <c r="O8" s="94">
        <f>MIN(U8:AD8)</f>
        <v>0</v>
      </c>
      <c r="P8" s="113" t="s">
        <v>5</v>
      </c>
      <c r="Q8" s="95">
        <f>MAX(U8:AD8)</f>
        <v>0</v>
      </c>
      <c r="R8" s="153"/>
      <c r="S8" s="125"/>
      <c r="T8" s="93" t="str">
        <f>IF('Deckblatt-Cover sheet'!$C$5="German",IF(ISERROR(VLOOKUP(F8,'Katalog-Catalogue'!$A$77:$J$173,6,FALSE)),"",VLOOKUP(F8,'Katalog-Catalogue'!$A$77:$J$173,6,FALSE)),IF('Deckblatt-Cover sheet'!$C$5="English",IF(ISERROR(VLOOKUP(F8,'Katalog-Catalogue'!$A$77:$J$173,8,FALSE)),"",VLOOKUP(F8,'Katalog-Catalogue'!$A$77:$J$173,8,FALSE)),IF('Deckblatt-Cover sheet'!$C$5="Chinese",IF(ISERROR(VLOOKUP(F8,'Katalog-Catalogue'!$A$77:$J$173,10,FALSE)),"",VLOOKUP(F8,'Katalog-Catalogue'!$A$77:$J$173,10,FALSE)))))</f>
        <v/>
      </c>
      <c r="U8" s="93"/>
      <c r="V8" s="93"/>
      <c r="W8" s="93"/>
      <c r="X8" s="93"/>
      <c r="Y8" s="93"/>
      <c r="Z8" s="93"/>
      <c r="AA8" s="93"/>
      <c r="AB8" s="93"/>
      <c r="AC8" s="93"/>
      <c r="AD8" s="93"/>
    </row>
    <row r="9" spans="1:30" ht="13.15">
      <c r="A9" s="96">
        <v>2</v>
      </c>
      <c r="B9" s="327" t="str">
        <f>IF('Deckblatt-Cover sheet'!$C$5="German",IF(ISERROR(VLOOKUP(F9,'Katalog-Catalogue'!$A$77:$F$173,2,FALSE)),"",S9&amp;" "&amp;VLOOKUP(F9,'Katalog-Catalogue'!$A$77:$F$173,2,FALSE)),IF('Deckblatt-Cover sheet'!$C$5="English",IF(ISERROR(VLOOKUP(F9,'Katalog-Catalogue'!A75:D171,3,FALSE)),"",S9&amp;" "&amp;VLOOKUP(F9,'Katalog-Catalogue'!$A$77:$F$173,3,FALSE)),IF('Deckblatt-Cover sheet'!$C$5="Chinese",IF(ISERROR(VLOOKUP(F9,'Katalog-Catalogue'!A75:D171,4,FALSE)),"",S9&amp;" "&amp;VLOOKUP(F9,'Katalog-Catalogue'!$A$77:$F$173,4,FALSE)))))</f>
        <v/>
      </c>
      <c r="C9" s="328"/>
      <c r="D9" s="328"/>
      <c r="E9" s="329"/>
      <c r="F9" s="97"/>
      <c r="G9" s="330"/>
      <c r="H9" s="331"/>
      <c r="I9" s="331"/>
      <c r="J9" s="331"/>
      <c r="K9" s="331"/>
      <c r="L9" s="98"/>
      <c r="M9" s="112" t="s">
        <v>5</v>
      </c>
      <c r="N9" s="99"/>
      <c r="O9" s="94">
        <f t="shared" ref="O9:O37" si="0">MIN(U9:AD9)</f>
        <v>0</v>
      </c>
      <c r="P9" s="113" t="s">
        <v>5</v>
      </c>
      <c r="Q9" s="95">
        <f t="shared" ref="Q9:Q37" si="1">MAX(U9:AD9)</f>
        <v>0</v>
      </c>
      <c r="R9" s="153"/>
      <c r="S9" s="125"/>
      <c r="T9" s="93" t="str">
        <f>IF('Deckblatt-Cover sheet'!$C$5="German",IF(ISERROR(VLOOKUP(F9,'Katalog-Catalogue'!$A$77:$J$173,6,FALSE)),"",VLOOKUP(F9,'Katalog-Catalogue'!$A$77:$J$173,6,FALSE)),IF('Deckblatt-Cover sheet'!$C$5="English",IF(ISERROR(VLOOKUP(F9,'Katalog-Catalogue'!$A$77:$J$173,8,FALSE)),"",VLOOKUP(F9,'Katalog-Catalogue'!$A$77:$J$173,8,FALSE)),IF('Deckblatt-Cover sheet'!$C$5="Chinese",IF(ISERROR(VLOOKUP(F9,'Katalog-Catalogue'!$A$77:$J$173,10,FALSE)),"",VLOOKUP(F9,'Katalog-Catalogue'!$A$77:$J$173,10,FALSE)))))</f>
        <v/>
      </c>
      <c r="U9" s="93"/>
      <c r="V9" s="93"/>
      <c r="W9" s="93"/>
      <c r="X9" s="93"/>
      <c r="Y9" s="93"/>
      <c r="Z9" s="93"/>
      <c r="AA9" s="93"/>
      <c r="AB9" s="93"/>
      <c r="AC9" s="93"/>
      <c r="AD9" s="93"/>
    </row>
    <row r="10" spans="1:30" ht="13.15">
      <c r="A10" s="96">
        <v>3</v>
      </c>
      <c r="B10" s="327" t="str">
        <f>IF('Deckblatt-Cover sheet'!$C$5="German",IF(ISERROR(VLOOKUP(F10,'Katalog-Catalogue'!$A$77:$F$173,2,FALSE)),"",S10&amp;" "&amp;VLOOKUP(F10,'Katalog-Catalogue'!$A$77:$F$173,2,FALSE)),IF('Deckblatt-Cover sheet'!$C$5="English",IF(ISERROR(VLOOKUP(F10,'Katalog-Catalogue'!A76:D172,3,FALSE)),"",S10&amp;" "&amp;VLOOKUP(F10,'Katalog-Catalogue'!$A$77:$F$173,3,FALSE)),IF('Deckblatt-Cover sheet'!$C$5="Chinese",IF(ISERROR(VLOOKUP(F10,'Katalog-Catalogue'!A76:D172,4,FALSE)),"",S10&amp;" "&amp;VLOOKUP(F10,'Katalog-Catalogue'!$A$77:$F$173,4,FALSE)))))</f>
        <v/>
      </c>
      <c r="C10" s="328"/>
      <c r="D10" s="328"/>
      <c r="E10" s="329"/>
      <c r="F10" s="97"/>
      <c r="G10" s="330"/>
      <c r="H10" s="331"/>
      <c r="I10" s="331"/>
      <c r="J10" s="331"/>
      <c r="K10" s="331"/>
      <c r="L10" s="98"/>
      <c r="M10" s="112" t="s">
        <v>5</v>
      </c>
      <c r="N10" s="99"/>
      <c r="O10" s="94">
        <f t="shared" si="0"/>
        <v>0</v>
      </c>
      <c r="P10" s="113" t="s">
        <v>5</v>
      </c>
      <c r="Q10" s="95">
        <f t="shared" si="1"/>
        <v>0</v>
      </c>
      <c r="R10" s="153"/>
      <c r="S10" s="125"/>
      <c r="T10" s="93" t="str">
        <f>IF('Deckblatt-Cover sheet'!$C$5="German",IF(ISERROR(VLOOKUP(F10,'Katalog-Catalogue'!$A$77:$J$173,6,FALSE)),"",VLOOKUP(F10,'Katalog-Catalogue'!$A$77:$J$173,6,FALSE)),IF('Deckblatt-Cover sheet'!$C$5="English",IF(ISERROR(VLOOKUP(F10,'Katalog-Catalogue'!$A$77:$J$173,8,FALSE)),"",VLOOKUP(F10,'Katalog-Catalogue'!$A$77:$J$173,8,FALSE)),IF('Deckblatt-Cover sheet'!$C$5="Chinese",IF(ISERROR(VLOOKUP(F10,'Katalog-Catalogue'!$A$77:$J$173,10,FALSE)),"",VLOOKUP(F10,'Katalog-Catalogue'!$A$77:$J$173,10,FALSE)))))</f>
        <v/>
      </c>
      <c r="U10" s="93"/>
      <c r="V10" s="93"/>
      <c r="W10" s="93"/>
      <c r="X10" s="93"/>
      <c r="Y10" s="93"/>
      <c r="Z10" s="93"/>
      <c r="AA10" s="93"/>
      <c r="AB10" s="93"/>
      <c r="AC10" s="93"/>
      <c r="AD10" s="93"/>
    </row>
    <row r="11" spans="1:30" ht="13.15">
      <c r="A11" s="96">
        <v>4</v>
      </c>
      <c r="B11" s="327" t="str">
        <f>IF('Deckblatt-Cover sheet'!$C$5="German",IF(ISERROR(VLOOKUP(F11,'Katalog-Catalogue'!$A$77:$F$173,2,FALSE)),"",S11&amp;" "&amp;VLOOKUP(F11,'Katalog-Catalogue'!$A$77:$F$173,2,FALSE)),IF('Deckblatt-Cover sheet'!$C$5="English",IF(ISERROR(VLOOKUP(F11,'Katalog-Catalogue'!A77:D173,3,FALSE)),"",S11&amp;" "&amp;VLOOKUP(F11,'Katalog-Catalogue'!$A$77:$F$173,3,FALSE)),IF('Deckblatt-Cover sheet'!$C$5="Chinese",IF(ISERROR(VLOOKUP(F11,'Katalog-Catalogue'!A77:D173,4,FALSE)),"",S11&amp;" "&amp;VLOOKUP(F11,'Katalog-Catalogue'!$A$77:$F$173,4,FALSE)))))</f>
        <v/>
      </c>
      <c r="C11" s="328"/>
      <c r="D11" s="328"/>
      <c r="E11" s="329"/>
      <c r="F11" s="97"/>
      <c r="G11" s="330"/>
      <c r="H11" s="331"/>
      <c r="I11" s="331"/>
      <c r="J11" s="331"/>
      <c r="K11" s="331"/>
      <c r="L11" s="98"/>
      <c r="M11" s="112" t="s">
        <v>5</v>
      </c>
      <c r="N11" s="99"/>
      <c r="O11" s="94">
        <f t="shared" si="0"/>
        <v>0</v>
      </c>
      <c r="P11" s="113" t="s">
        <v>5</v>
      </c>
      <c r="Q11" s="95">
        <f t="shared" si="1"/>
        <v>0</v>
      </c>
      <c r="R11" s="153"/>
      <c r="S11" s="125"/>
      <c r="T11" s="93" t="str">
        <f>IF('Deckblatt-Cover sheet'!$C$5="German",IF(ISERROR(VLOOKUP(F11,'Katalog-Catalogue'!$A$77:$J$173,6,FALSE)),"",VLOOKUP(F11,'Katalog-Catalogue'!$A$77:$J$173,6,FALSE)),IF('Deckblatt-Cover sheet'!$C$5="English",IF(ISERROR(VLOOKUP(F11,'Katalog-Catalogue'!$A$77:$J$173,8,FALSE)),"",VLOOKUP(F11,'Katalog-Catalogue'!$A$77:$J$173,8,FALSE)),IF('Deckblatt-Cover sheet'!$C$5="Chinese",IF(ISERROR(VLOOKUP(F11,'Katalog-Catalogue'!$A$77:$J$173,10,FALSE)),"",VLOOKUP(F11,'Katalog-Catalogue'!$A$77:$J$173,10,FALSE)))))</f>
        <v/>
      </c>
      <c r="U11" s="93"/>
      <c r="V11" s="93"/>
      <c r="W11" s="93"/>
      <c r="X11" s="93"/>
      <c r="Y11" s="93"/>
      <c r="Z11" s="93"/>
      <c r="AA11" s="93"/>
      <c r="AB11" s="93"/>
      <c r="AC11" s="93"/>
      <c r="AD11" s="93"/>
    </row>
    <row r="12" spans="1:30" ht="13.15">
      <c r="A12" s="96">
        <v>5</v>
      </c>
      <c r="B12" s="327" t="str">
        <f>IF('Deckblatt-Cover sheet'!$C$5="German",IF(ISERROR(VLOOKUP(F12,'Katalog-Catalogue'!$A$77:$F$173,2,FALSE)),"",S12&amp;" "&amp;VLOOKUP(F12,'Katalog-Catalogue'!$A$77:$F$173,2,FALSE)),IF('Deckblatt-Cover sheet'!$C$5="English",IF(ISERROR(VLOOKUP(F12,'Katalog-Catalogue'!A78:D174,3,FALSE)),"",S12&amp;" "&amp;VLOOKUP(F12,'Katalog-Catalogue'!$A$77:$F$173,3,FALSE)),IF('Deckblatt-Cover sheet'!$C$5="Chinese",IF(ISERROR(VLOOKUP(F12,'Katalog-Catalogue'!A78:D174,4,FALSE)),"",S12&amp;" "&amp;VLOOKUP(F12,'Katalog-Catalogue'!$A$77:$F$173,4,FALSE)))))</f>
        <v/>
      </c>
      <c r="C12" s="328"/>
      <c r="D12" s="328"/>
      <c r="E12" s="329"/>
      <c r="F12" s="97"/>
      <c r="G12" s="330"/>
      <c r="H12" s="331"/>
      <c r="I12" s="331"/>
      <c r="J12" s="331"/>
      <c r="K12" s="331"/>
      <c r="L12" s="98"/>
      <c r="M12" s="112" t="s">
        <v>5</v>
      </c>
      <c r="N12" s="99"/>
      <c r="O12" s="94">
        <f t="shared" si="0"/>
        <v>0</v>
      </c>
      <c r="P12" s="113" t="s">
        <v>5</v>
      </c>
      <c r="Q12" s="95">
        <f t="shared" si="1"/>
        <v>0</v>
      </c>
      <c r="R12" s="153"/>
      <c r="S12" s="125"/>
      <c r="T12" s="93" t="str">
        <f>IF('Deckblatt-Cover sheet'!$C$5="German",IF(ISERROR(VLOOKUP(F12,'Katalog-Catalogue'!$A$77:$J$173,6,FALSE)),"",VLOOKUP(F12,'Katalog-Catalogue'!$A$77:$J$173,6,FALSE)),IF('Deckblatt-Cover sheet'!$C$5="English",IF(ISERROR(VLOOKUP(F12,'Katalog-Catalogue'!$A$77:$J$173,8,FALSE)),"",VLOOKUP(F12,'Katalog-Catalogue'!$A$77:$J$173,8,FALSE)),IF('Deckblatt-Cover sheet'!$C$5="Chinese",IF(ISERROR(VLOOKUP(F12,'Katalog-Catalogue'!$A$77:$J$173,10,FALSE)),"",VLOOKUP(F12,'Katalog-Catalogue'!$A$77:$J$173,10,FALSE)))))</f>
        <v/>
      </c>
      <c r="U12" s="93"/>
      <c r="V12" s="93"/>
      <c r="W12" s="93"/>
      <c r="X12" s="93"/>
      <c r="Y12" s="93"/>
      <c r="Z12" s="93"/>
      <c r="AA12" s="93"/>
      <c r="AB12" s="93"/>
      <c r="AC12" s="93"/>
      <c r="AD12" s="93"/>
    </row>
    <row r="13" spans="1:30" ht="13.15">
      <c r="A13" s="96">
        <v>6</v>
      </c>
      <c r="B13" s="327" t="str">
        <f>IF('Deckblatt-Cover sheet'!$C$5="German",IF(ISERROR(VLOOKUP(F13,'Katalog-Catalogue'!$A$77:$F$173,2,FALSE)),"",S13&amp;" "&amp;VLOOKUP(F13,'Katalog-Catalogue'!$A$77:$F$173,2,FALSE)),IF('Deckblatt-Cover sheet'!$C$5="English",IF(ISERROR(VLOOKUP(F13,'Katalog-Catalogue'!A79:D175,3,FALSE)),"",S13&amp;" "&amp;VLOOKUP(F13,'Katalog-Catalogue'!$A$77:$F$173,3,FALSE)),IF('Deckblatt-Cover sheet'!$C$5="Chinese",IF(ISERROR(VLOOKUP(F13,'Katalog-Catalogue'!A79:D175,4,FALSE)),"",S13&amp;" "&amp;VLOOKUP(F13,'Katalog-Catalogue'!$A$77:$F$173,4,FALSE)))))</f>
        <v/>
      </c>
      <c r="C13" s="328"/>
      <c r="D13" s="328"/>
      <c r="E13" s="329"/>
      <c r="F13" s="97"/>
      <c r="G13" s="330"/>
      <c r="H13" s="331"/>
      <c r="I13" s="331"/>
      <c r="J13" s="331"/>
      <c r="K13" s="331"/>
      <c r="L13" s="98"/>
      <c r="M13" s="112" t="s">
        <v>5</v>
      </c>
      <c r="N13" s="99"/>
      <c r="O13" s="94">
        <f t="shared" si="0"/>
        <v>0</v>
      </c>
      <c r="P13" s="113" t="s">
        <v>5</v>
      </c>
      <c r="Q13" s="95">
        <f t="shared" si="1"/>
        <v>0</v>
      </c>
      <c r="R13" s="153"/>
      <c r="S13" s="125"/>
      <c r="T13" s="93" t="str">
        <f>IF('Deckblatt-Cover sheet'!$C$5="German",IF(ISERROR(VLOOKUP(F13,'Katalog-Catalogue'!$A$77:$J$173,6,FALSE)),"",VLOOKUP(F13,'Katalog-Catalogue'!$A$77:$J$173,6,FALSE)),IF('Deckblatt-Cover sheet'!$C$5="English",IF(ISERROR(VLOOKUP(F13,'Katalog-Catalogue'!$A$77:$J$173,8,FALSE)),"",VLOOKUP(F13,'Katalog-Catalogue'!$A$77:$J$173,8,FALSE)),IF('Deckblatt-Cover sheet'!$C$5="Chinese",IF(ISERROR(VLOOKUP(F13,'Katalog-Catalogue'!$A$77:$J$173,10,FALSE)),"",VLOOKUP(F13,'Katalog-Catalogue'!$A$77:$J$173,10,FALSE)))))</f>
        <v/>
      </c>
      <c r="U13" s="93"/>
      <c r="V13" s="93"/>
      <c r="W13" s="93"/>
      <c r="X13" s="93"/>
      <c r="Y13" s="93"/>
      <c r="Z13" s="93"/>
      <c r="AA13" s="93"/>
      <c r="AB13" s="93"/>
      <c r="AC13" s="93"/>
      <c r="AD13" s="93"/>
    </row>
    <row r="14" spans="1:30" ht="13.15">
      <c r="A14" s="96">
        <v>7</v>
      </c>
      <c r="B14" s="327" t="str">
        <f>IF('Deckblatt-Cover sheet'!$C$5="German",IF(ISERROR(VLOOKUP(F14,'Katalog-Catalogue'!$A$77:$F$173,2,FALSE)),"",S14&amp;" "&amp;VLOOKUP(F14,'Katalog-Catalogue'!$A$77:$F$173,2,FALSE)),IF('Deckblatt-Cover sheet'!$C$5="English",IF(ISERROR(VLOOKUP(F14,'Katalog-Catalogue'!A80:D176,3,FALSE)),"",S14&amp;" "&amp;VLOOKUP(F14,'Katalog-Catalogue'!$A$77:$F$173,3,FALSE)),IF('Deckblatt-Cover sheet'!$C$5="Chinese",IF(ISERROR(VLOOKUP(F14,'Katalog-Catalogue'!A80:D176,4,FALSE)),"",S14&amp;" "&amp;VLOOKUP(F14,'Katalog-Catalogue'!$A$77:$F$173,4,FALSE)))))</f>
        <v/>
      </c>
      <c r="C14" s="328"/>
      <c r="D14" s="328"/>
      <c r="E14" s="329"/>
      <c r="F14" s="97"/>
      <c r="G14" s="330"/>
      <c r="H14" s="331"/>
      <c r="I14" s="331"/>
      <c r="J14" s="331"/>
      <c r="K14" s="331"/>
      <c r="L14" s="98"/>
      <c r="M14" s="112" t="s">
        <v>5</v>
      </c>
      <c r="N14" s="99"/>
      <c r="O14" s="94">
        <f t="shared" si="0"/>
        <v>0</v>
      </c>
      <c r="P14" s="113" t="s">
        <v>5</v>
      </c>
      <c r="Q14" s="95">
        <f t="shared" si="1"/>
        <v>0</v>
      </c>
      <c r="R14" s="153"/>
      <c r="S14" s="125"/>
      <c r="T14" s="93" t="str">
        <f>IF('Deckblatt-Cover sheet'!$C$5="German",IF(ISERROR(VLOOKUP(F14,'Katalog-Catalogue'!$A$77:$J$173,6,FALSE)),"",VLOOKUP(F14,'Katalog-Catalogue'!$A$77:$J$173,6,FALSE)),IF('Deckblatt-Cover sheet'!$C$5="English",IF(ISERROR(VLOOKUP(F14,'Katalog-Catalogue'!$A$77:$J$173,8,FALSE)),"",VLOOKUP(F14,'Katalog-Catalogue'!$A$77:$J$173,8,FALSE)),IF('Deckblatt-Cover sheet'!$C$5="Chinese",IF(ISERROR(VLOOKUP(F14,'Katalog-Catalogue'!$A$77:$J$173,10,FALSE)),"",VLOOKUP(F14,'Katalog-Catalogue'!$A$77:$J$173,10,FALSE)))))</f>
        <v/>
      </c>
      <c r="U14" s="93"/>
      <c r="V14" s="93"/>
      <c r="W14" s="93"/>
      <c r="X14" s="93"/>
      <c r="Y14" s="93"/>
      <c r="Z14" s="93"/>
      <c r="AA14" s="93"/>
      <c r="AB14" s="93"/>
      <c r="AC14" s="93"/>
      <c r="AD14" s="93"/>
    </row>
    <row r="15" spans="1:30" ht="13.15">
      <c r="A15" s="96">
        <v>8</v>
      </c>
      <c r="B15" s="327" t="str">
        <f>IF('Deckblatt-Cover sheet'!$C$5="German",IF(ISERROR(VLOOKUP(F15,'Katalog-Catalogue'!$A$77:$F$173,2,FALSE)),"",S15&amp;" "&amp;VLOOKUP(F15,'Katalog-Catalogue'!$A$77:$F$173,2,FALSE)),IF('Deckblatt-Cover sheet'!$C$5="English",IF(ISERROR(VLOOKUP(F15,'Katalog-Catalogue'!A81:D177,3,FALSE)),"",S15&amp;" "&amp;VLOOKUP(F15,'Katalog-Catalogue'!$A$77:$F$173,3,FALSE)),IF('Deckblatt-Cover sheet'!$C$5="Chinese",IF(ISERROR(VLOOKUP(F15,'Katalog-Catalogue'!A81:D177,4,FALSE)),"",S15&amp;" "&amp;VLOOKUP(F15,'Katalog-Catalogue'!$A$77:$F$173,4,FALSE)))))</f>
        <v/>
      </c>
      <c r="C15" s="328"/>
      <c r="D15" s="328"/>
      <c r="E15" s="329"/>
      <c r="F15" s="97"/>
      <c r="G15" s="330"/>
      <c r="H15" s="331"/>
      <c r="I15" s="331"/>
      <c r="J15" s="331"/>
      <c r="K15" s="331"/>
      <c r="L15" s="98"/>
      <c r="M15" s="112" t="s">
        <v>5</v>
      </c>
      <c r="N15" s="99"/>
      <c r="O15" s="94">
        <f t="shared" si="0"/>
        <v>0</v>
      </c>
      <c r="P15" s="113" t="s">
        <v>5</v>
      </c>
      <c r="Q15" s="95">
        <f t="shared" si="1"/>
        <v>0</v>
      </c>
      <c r="R15" s="153"/>
      <c r="S15" s="125"/>
      <c r="T15" s="93" t="str">
        <f>IF('Deckblatt-Cover sheet'!$C$5="German",IF(ISERROR(VLOOKUP(F15,'Katalog-Catalogue'!$A$77:$J$173,6,FALSE)),"",VLOOKUP(F15,'Katalog-Catalogue'!$A$77:$J$173,6,FALSE)),IF('Deckblatt-Cover sheet'!$C$5="English",IF(ISERROR(VLOOKUP(F15,'Katalog-Catalogue'!$A$77:$J$173,8,FALSE)),"",VLOOKUP(F15,'Katalog-Catalogue'!$A$77:$J$173,8,FALSE)),IF('Deckblatt-Cover sheet'!$C$5="Chinese",IF(ISERROR(VLOOKUP(F15,'Katalog-Catalogue'!$A$77:$J$173,10,FALSE)),"",VLOOKUP(F15,'Katalog-Catalogue'!$A$77:$J$173,10,FALSE)))))</f>
        <v/>
      </c>
      <c r="U15" s="93"/>
      <c r="V15" s="93"/>
      <c r="W15" s="93"/>
      <c r="X15" s="93"/>
      <c r="Y15" s="93"/>
      <c r="Z15" s="93"/>
      <c r="AA15" s="93"/>
      <c r="AB15" s="93"/>
      <c r="AC15" s="93"/>
      <c r="AD15" s="93"/>
    </row>
    <row r="16" spans="1:30" ht="13.15">
      <c r="A16" s="96">
        <v>9</v>
      </c>
      <c r="B16" s="327" t="str">
        <f>IF('Deckblatt-Cover sheet'!$C$5="German",IF(ISERROR(VLOOKUP(F16,'Katalog-Catalogue'!$A$77:$F$173,2,FALSE)),"",S16&amp;" "&amp;VLOOKUP(F16,'Katalog-Catalogue'!$A$77:$F$173,2,FALSE)),IF('Deckblatt-Cover sheet'!$C$5="English",IF(ISERROR(VLOOKUP(F16,'Katalog-Catalogue'!A82:D178,3,FALSE)),"",S16&amp;" "&amp;VLOOKUP(F16,'Katalog-Catalogue'!$A$77:$F$173,3,FALSE)),IF('Deckblatt-Cover sheet'!$C$5="Chinese",IF(ISERROR(VLOOKUP(F16,'Katalog-Catalogue'!A82:D178,4,FALSE)),"",S16&amp;" "&amp;VLOOKUP(F16,'Katalog-Catalogue'!$A$77:$F$173,4,FALSE)))))</f>
        <v/>
      </c>
      <c r="C16" s="328"/>
      <c r="D16" s="328"/>
      <c r="E16" s="329"/>
      <c r="F16" s="97"/>
      <c r="G16" s="330"/>
      <c r="H16" s="331"/>
      <c r="I16" s="331"/>
      <c r="J16" s="331"/>
      <c r="K16" s="331"/>
      <c r="L16" s="98"/>
      <c r="M16" s="112" t="s">
        <v>5</v>
      </c>
      <c r="N16" s="99"/>
      <c r="O16" s="94">
        <f t="shared" si="0"/>
        <v>0</v>
      </c>
      <c r="P16" s="113" t="s">
        <v>5</v>
      </c>
      <c r="Q16" s="95">
        <f t="shared" si="1"/>
        <v>0</v>
      </c>
      <c r="R16" s="153"/>
      <c r="S16" s="125"/>
      <c r="T16" s="93" t="str">
        <f>IF('Deckblatt-Cover sheet'!$C$5="German",IF(ISERROR(VLOOKUP(F16,'Katalog-Catalogue'!$A$77:$J$173,6,FALSE)),"",VLOOKUP(F16,'Katalog-Catalogue'!$A$77:$J$173,6,FALSE)),IF('Deckblatt-Cover sheet'!$C$5="English",IF(ISERROR(VLOOKUP(F16,'Katalog-Catalogue'!$A$77:$J$173,8,FALSE)),"",VLOOKUP(F16,'Katalog-Catalogue'!$A$77:$J$173,8,FALSE)),IF('Deckblatt-Cover sheet'!$C$5="Chinese",IF(ISERROR(VLOOKUP(F16,'Katalog-Catalogue'!$A$77:$J$173,10,FALSE)),"",VLOOKUP(F16,'Katalog-Catalogue'!$A$77:$J$173,10,FALSE)))))</f>
        <v/>
      </c>
      <c r="U16" s="93"/>
      <c r="V16" s="93"/>
      <c r="W16" s="93"/>
      <c r="X16" s="93"/>
      <c r="Y16" s="93"/>
      <c r="Z16" s="93"/>
      <c r="AA16" s="93"/>
      <c r="AB16" s="93"/>
      <c r="AC16" s="93"/>
      <c r="AD16" s="93"/>
    </row>
    <row r="17" spans="1:30" ht="13.15">
      <c r="A17" s="96">
        <v>10</v>
      </c>
      <c r="B17" s="327" t="str">
        <f>IF('Deckblatt-Cover sheet'!$C$5="German",IF(ISERROR(VLOOKUP(F17,'Katalog-Catalogue'!$A$77:$F$173,2,FALSE)),"",S17&amp;" "&amp;VLOOKUP(F17,'Katalog-Catalogue'!$A$77:$F$173,2,FALSE)),IF('Deckblatt-Cover sheet'!$C$5="English",IF(ISERROR(VLOOKUP(F17,'Katalog-Catalogue'!A83:D179,3,FALSE)),"",S17&amp;" "&amp;VLOOKUP(F17,'Katalog-Catalogue'!$A$77:$F$173,3,FALSE)),IF('Deckblatt-Cover sheet'!$C$5="Chinese",IF(ISERROR(VLOOKUP(F17,'Katalog-Catalogue'!A83:D179,4,FALSE)),"",S17&amp;" "&amp;VLOOKUP(F17,'Katalog-Catalogue'!$A$77:$F$173,4,FALSE)))))</f>
        <v/>
      </c>
      <c r="C17" s="328"/>
      <c r="D17" s="328"/>
      <c r="E17" s="329"/>
      <c r="F17" s="97"/>
      <c r="G17" s="330"/>
      <c r="H17" s="331"/>
      <c r="I17" s="331"/>
      <c r="J17" s="331"/>
      <c r="K17" s="331"/>
      <c r="L17" s="98"/>
      <c r="M17" s="112" t="s">
        <v>5</v>
      </c>
      <c r="N17" s="99"/>
      <c r="O17" s="94">
        <f t="shared" si="0"/>
        <v>0</v>
      </c>
      <c r="P17" s="113" t="s">
        <v>5</v>
      </c>
      <c r="Q17" s="95">
        <f t="shared" si="1"/>
        <v>0</v>
      </c>
      <c r="R17" s="153"/>
      <c r="S17" s="125"/>
      <c r="T17" s="93" t="str">
        <f>IF('Deckblatt-Cover sheet'!$C$5="German",IF(ISERROR(VLOOKUP(F17,'Katalog-Catalogue'!$A$77:$J$173,6,FALSE)),"",VLOOKUP(F17,'Katalog-Catalogue'!$A$77:$J$173,6,FALSE)),IF('Deckblatt-Cover sheet'!$C$5="English",IF(ISERROR(VLOOKUP(F17,'Katalog-Catalogue'!$A$77:$J$173,8,FALSE)),"",VLOOKUP(F17,'Katalog-Catalogue'!$A$77:$J$173,8,FALSE)),IF('Deckblatt-Cover sheet'!$C$5="Chinese",IF(ISERROR(VLOOKUP(F17,'Katalog-Catalogue'!$A$77:$J$173,10,FALSE)),"",VLOOKUP(F17,'Katalog-Catalogue'!$A$77:$J$173,10,FALSE)))))</f>
        <v/>
      </c>
      <c r="U17" s="93"/>
      <c r="V17" s="93"/>
      <c r="W17" s="93"/>
      <c r="X17" s="93"/>
      <c r="Y17" s="93"/>
      <c r="Z17" s="93"/>
      <c r="AA17" s="93"/>
      <c r="AB17" s="93"/>
      <c r="AC17" s="93"/>
      <c r="AD17" s="93"/>
    </row>
    <row r="18" spans="1:30" ht="13.15">
      <c r="A18" s="96">
        <v>11</v>
      </c>
      <c r="B18" s="327" t="str">
        <f>IF('Deckblatt-Cover sheet'!$C$5="German",IF(ISERROR(VLOOKUP(F18,'Katalog-Catalogue'!$A$77:$F$173,2,FALSE)),"",S18&amp;" "&amp;VLOOKUP(F18,'Katalog-Catalogue'!$A$77:$F$173,2,FALSE)),IF('Deckblatt-Cover sheet'!$C$5="English",IF(ISERROR(VLOOKUP(F18,'Katalog-Catalogue'!A84:D180,3,FALSE)),"",S18&amp;" "&amp;VLOOKUP(F18,'Katalog-Catalogue'!$A$77:$F$173,3,FALSE)),IF('Deckblatt-Cover sheet'!$C$5="Chinese",IF(ISERROR(VLOOKUP(F18,'Katalog-Catalogue'!A84:D180,4,FALSE)),"",S18&amp;" "&amp;VLOOKUP(F18,'Katalog-Catalogue'!$A$77:$F$173,4,FALSE)))))</f>
        <v/>
      </c>
      <c r="C18" s="328"/>
      <c r="D18" s="328"/>
      <c r="E18" s="329"/>
      <c r="F18" s="97"/>
      <c r="G18" s="330"/>
      <c r="H18" s="331"/>
      <c r="I18" s="331"/>
      <c r="J18" s="331"/>
      <c r="K18" s="331"/>
      <c r="L18" s="98"/>
      <c r="M18" s="112" t="s">
        <v>5</v>
      </c>
      <c r="N18" s="99"/>
      <c r="O18" s="94">
        <f t="shared" si="0"/>
        <v>0</v>
      </c>
      <c r="P18" s="113" t="s">
        <v>5</v>
      </c>
      <c r="Q18" s="95">
        <f t="shared" si="1"/>
        <v>0</v>
      </c>
      <c r="R18" s="153"/>
      <c r="S18" s="125"/>
      <c r="T18" s="93" t="str">
        <f>IF('Deckblatt-Cover sheet'!$C$5="German",IF(ISERROR(VLOOKUP(F18,'Katalog-Catalogue'!$A$77:$J$173,6,FALSE)),"",VLOOKUP(F18,'Katalog-Catalogue'!$A$77:$J$173,6,FALSE)),IF('Deckblatt-Cover sheet'!$C$5="English",IF(ISERROR(VLOOKUP(F18,'Katalog-Catalogue'!$A$77:$J$173,8,FALSE)),"",VLOOKUP(F18,'Katalog-Catalogue'!$A$77:$J$173,8,FALSE)),IF('Deckblatt-Cover sheet'!$C$5="Chinese",IF(ISERROR(VLOOKUP(F18,'Katalog-Catalogue'!$A$77:$J$173,10,FALSE)),"",VLOOKUP(F18,'Katalog-Catalogue'!$A$77:$J$173,10,FALSE)))))</f>
        <v/>
      </c>
      <c r="U18" s="93"/>
      <c r="V18" s="93"/>
      <c r="W18" s="93"/>
      <c r="X18" s="93"/>
      <c r="Y18" s="93"/>
      <c r="Z18" s="93"/>
      <c r="AA18" s="93"/>
      <c r="AB18" s="93"/>
      <c r="AC18" s="93"/>
      <c r="AD18" s="93"/>
    </row>
    <row r="19" spans="1:30" ht="13.15">
      <c r="A19" s="96">
        <v>12</v>
      </c>
      <c r="B19" s="327" t="str">
        <f>IF('Deckblatt-Cover sheet'!$C$5="German",IF(ISERROR(VLOOKUP(F19,'Katalog-Catalogue'!$A$77:$F$173,2,FALSE)),"",S19&amp;" "&amp;VLOOKUP(F19,'Katalog-Catalogue'!$A$77:$F$173,2,FALSE)),IF('Deckblatt-Cover sheet'!$C$5="English",IF(ISERROR(VLOOKUP(F19,'Katalog-Catalogue'!A85:D181,3,FALSE)),"",S19&amp;" "&amp;VLOOKUP(F19,'Katalog-Catalogue'!$A$77:$F$173,3,FALSE)),IF('Deckblatt-Cover sheet'!$C$5="Chinese",IF(ISERROR(VLOOKUP(F19,'Katalog-Catalogue'!A85:D181,4,FALSE)),"",S19&amp;" "&amp;VLOOKUP(F19,'Katalog-Catalogue'!$A$77:$F$173,4,FALSE)))))</f>
        <v/>
      </c>
      <c r="C19" s="328"/>
      <c r="D19" s="328"/>
      <c r="E19" s="329"/>
      <c r="F19" s="97"/>
      <c r="G19" s="330"/>
      <c r="H19" s="331"/>
      <c r="I19" s="331"/>
      <c r="J19" s="331"/>
      <c r="K19" s="331"/>
      <c r="L19" s="98"/>
      <c r="M19" s="112" t="s">
        <v>5</v>
      </c>
      <c r="N19" s="99"/>
      <c r="O19" s="94">
        <f t="shared" si="0"/>
        <v>0</v>
      </c>
      <c r="P19" s="113" t="s">
        <v>5</v>
      </c>
      <c r="Q19" s="95">
        <f t="shared" si="1"/>
        <v>0</v>
      </c>
      <c r="R19" s="153"/>
      <c r="S19" s="125"/>
      <c r="T19" s="93" t="str">
        <f>IF('Deckblatt-Cover sheet'!$C$5="German",IF(ISERROR(VLOOKUP(F19,'Katalog-Catalogue'!$A$77:$J$173,6,FALSE)),"",VLOOKUP(F19,'Katalog-Catalogue'!$A$77:$J$173,6,FALSE)),IF('Deckblatt-Cover sheet'!$C$5="English",IF(ISERROR(VLOOKUP(F19,'Katalog-Catalogue'!$A$77:$J$173,8,FALSE)),"",VLOOKUP(F19,'Katalog-Catalogue'!$A$77:$J$173,8,FALSE)),IF('Deckblatt-Cover sheet'!$C$5="Chinese",IF(ISERROR(VLOOKUP(F19,'Katalog-Catalogue'!$A$77:$J$173,10,FALSE)),"",VLOOKUP(F19,'Katalog-Catalogue'!$A$77:$J$173,10,FALSE)))))</f>
        <v/>
      </c>
      <c r="U19" s="93"/>
      <c r="V19" s="93"/>
      <c r="W19" s="93"/>
      <c r="X19" s="93"/>
      <c r="Y19" s="93"/>
      <c r="Z19" s="93"/>
      <c r="AA19" s="93"/>
      <c r="AB19" s="93"/>
      <c r="AC19" s="93"/>
      <c r="AD19" s="93"/>
    </row>
    <row r="20" spans="1:30" ht="13.15">
      <c r="A20" s="96">
        <v>13</v>
      </c>
      <c r="B20" s="327" t="str">
        <f>IF('Deckblatt-Cover sheet'!$C$5="German",IF(ISERROR(VLOOKUP(F20,'Katalog-Catalogue'!$A$77:$F$173,2,FALSE)),"",S20&amp;" "&amp;VLOOKUP(F20,'Katalog-Catalogue'!$A$77:$F$173,2,FALSE)),IF('Deckblatt-Cover sheet'!$C$5="English",IF(ISERROR(VLOOKUP(F20,'Katalog-Catalogue'!A86:D182,3,FALSE)),"",S20&amp;" "&amp;VLOOKUP(F20,'Katalog-Catalogue'!$A$77:$F$173,3,FALSE)),IF('Deckblatt-Cover sheet'!$C$5="Chinese",IF(ISERROR(VLOOKUP(F20,'Katalog-Catalogue'!A86:D182,4,FALSE)),"",S20&amp;" "&amp;VLOOKUP(F20,'Katalog-Catalogue'!$A$77:$F$173,4,FALSE)))))</f>
        <v/>
      </c>
      <c r="C20" s="328"/>
      <c r="D20" s="328"/>
      <c r="E20" s="329"/>
      <c r="F20" s="97"/>
      <c r="G20" s="330"/>
      <c r="H20" s="331"/>
      <c r="I20" s="331"/>
      <c r="J20" s="331"/>
      <c r="K20" s="331"/>
      <c r="L20" s="98"/>
      <c r="M20" s="112" t="s">
        <v>5</v>
      </c>
      <c r="N20" s="99"/>
      <c r="O20" s="94">
        <f t="shared" si="0"/>
        <v>0</v>
      </c>
      <c r="P20" s="113" t="s">
        <v>5</v>
      </c>
      <c r="Q20" s="95">
        <f t="shared" si="1"/>
        <v>0</v>
      </c>
      <c r="R20" s="153"/>
      <c r="S20" s="125"/>
      <c r="T20" s="93" t="str">
        <f>IF('Deckblatt-Cover sheet'!$C$5="German",IF(ISERROR(VLOOKUP(F20,'Katalog-Catalogue'!$A$77:$J$173,6,FALSE)),"",VLOOKUP(F20,'Katalog-Catalogue'!$A$77:$J$173,6,FALSE)),IF('Deckblatt-Cover sheet'!$C$5="English",IF(ISERROR(VLOOKUP(F20,'Katalog-Catalogue'!$A$77:$J$173,8,FALSE)),"",VLOOKUP(F20,'Katalog-Catalogue'!$A$77:$J$173,8,FALSE)),IF('Deckblatt-Cover sheet'!$C$5="Chinese",IF(ISERROR(VLOOKUP(F20,'Katalog-Catalogue'!$A$77:$J$173,10,FALSE)),"",VLOOKUP(F20,'Katalog-Catalogue'!$A$77:$J$173,10,FALSE)))))</f>
        <v/>
      </c>
      <c r="U20" s="93"/>
      <c r="V20" s="93"/>
      <c r="W20" s="93"/>
      <c r="X20" s="93"/>
      <c r="Y20" s="93"/>
      <c r="Z20" s="93"/>
      <c r="AA20" s="93"/>
      <c r="AB20" s="93"/>
      <c r="AC20" s="93"/>
      <c r="AD20" s="93"/>
    </row>
    <row r="21" spans="1:30" ht="13.15">
      <c r="A21" s="96">
        <v>14</v>
      </c>
      <c r="B21" s="327" t="str">
        <f>IF('Deckblatt-Cover sheet'!$C$5="German",IF(ISERROR(VLOOKUP(F21,'Katalog-Catalogue'!$A$77:$F$173,2,FALSE)),"",S21&amp;" "&amp;VLOOKUP(F21,'Katalog-Catalogue'!$A$77:$F$173,2,FALSE)),IF('Deckblatt-Cover sheet'!$C$5="English",IF(ISERROR(VLOOKUP(F21,'Katalog-Catalogue'!A87:D183,3,FALSE)),"",S21&amp;" "&amp;VLOOKUP(F21,'Katalog-Catalogue'!$A$77:$F$173,3,FALSE)),IF('Deckblatt-Cover sheet'!$C$5="Chinese",IF(ISERROR(VLOOKUP(F21,'Katalog-Catalogue'!A87:D183,4,FALSE)),"",S21&amp;" "&amp;VLOOKUP(F21,'Katalog-Catalogue'!$A$77:$F$173,4,FALSE)))))</f>
        <v/>
      </c>
      <c r="C21" s="328"/>
      <c r="D21" s="328"/>
      <c r="E21" s="329"/>
      <c r="F21" s="97"/>
      <c r="G21" s="330"/>
      <c r="H21" s="331"/>
      <c r="I21" s="331"/>
      <c r="J21" s="331"/>
      <c r="K21" s="331"/>
      <c r="L21" s="98"/>
      <c r="M21" s="112" t="s">
        <v>5</v>
      </c>
      <c r="N21" s="99"/>
      <c r="O21" s="94">
        <f t="shared" si="0"/>
        <v>0</v>
      </c>
      <c r="P21" s="113" t="s">
        <v>5</v>
      </c>
      <c r="Q21" s="95">
        <f t="shared" si="1"/>
        <v>0</v>
      </c>
      <c r="R21" s="153"/>
      <c r="S21" s="125"/>
      <c r="T21" s="93" t="str">
        <f>IF('Deckblatt-Cover sheet'!$C$5="German",IF(ISERROR(VLOOKUP(F21,'Katalog-Catalogue'!$A$77:$J$173,6,FALSE)),"",VLOOKUP(F21,'Katalog-Catalogue'!$A$77:$J$173,6,FALSE)),IF('Deckblatt-Cover sheet'!$C$5="English",IF(ISERROR(VLOOKUP(F21,'Katalog-Catalogue'!$A$77:$J$173,8,FALSE)),"",VLOOKUP(F21,'Katalog-Catalogue'!$A$77:$J$173,8,FALSE)),IF('Deckblatt-Cover sheet'!$C$5="Chinese",IF(ISERROR(VLOOKUP(F21,'Katalog-Catalogue'!$A$77:$J$173,10,FALSE)),"",VLOOKUP(F21,'Katalog-Catalogue'!$A$77:$J$173,10,FALSE)))))</f>
        <v/>
      </c>
      <c r="U21" s="93"/>
      <c r="V21" s="93"/>
      <c r="W21" s="93"/>
      <c r="X21" s="93"/>
      <c r="Y21" s="93"/>
      <c r="Z21" s="93"/>
      <c r="AA21" s="93"/>
      <c r="AB21" s="93"/>
      <c r="AC21" s="93"/>
      <c r="AD21" s="93"/>
    </row>
    <row r="22" spans="1:30" ht="13.15">
      <c r="A22" s="96">
        <v>15</v>
      </c>
      <c r="B22" s="327" t="str">
        <f>IF('Deckblatt-Cover sheet'!$C$5="German",IF(ISERROR(VLOOKUP(F22,'Katalog-Catalogue'!$A$77:$F$173,2,FALSE)),"",S22&amp;" "&amp;VLOOKUP(F22,'Katalog-Catalogue'!$A$77:$F$173,2,FALSE)),IF('Deckblatt-Cover sheet'!$C$5="English",IF(ISERROR(VLOOKUP(F22,'Katalog-Catalogue'!A88:D184,3,FALSE)),"",S22&amp;" "&amp;VLOOKUP(F22,'Katalog-Catalogue'!$A$77:$F$173,3,FALSE)),IF('Deckblatt-Cover sheet'!$C$5="Chinese",IF(ISERROR(VLOOKUP(F22,'Katalog-Catalogue'!A88:D184,4,FALSE)),"",S22&amp;" "&amp;VLOOKUP(F22,'Katalog-Catalogue'!$A$77:$F$173,4,FALSE)))))</f>
        <v/>
      </c>
      <c r="C22" s="328"/>
      <c r="D22" s="328"/>
      <c r="E22" s="329"/>
      <c r="F22" s="97"/>
      <c r="G22" s="330"/>
      <c r="H22" s="331"/>
      <c r="I22" s="331"/>
      <c r="J22" s="331"/>
      <c r="K22" s="331"/>
      <c r="L22" s="98"/>
      <c r="M22" s="112" t="s">
        <v>5</v>
      </c>
      <c r="N22" s="99"/>
      <c r="O22" s="94">
        <f t="shared" si="0"/>
        <v>0</v>
      </c>
      <c r="P22" s="113" t="s">
        <v>5</v>
      </c>
      <c r="Q22" s="95">
        <f t="shared" si="1"/>
        <v>0</v>
      </c>
      <c r="R22" s="153"/>
      <c r="S22" s="125"/>
      <c r="T22" s="93" t="str">
        <f>IF('Deckblatt-Cover sheet'!$C$5="German",IF(ISERROR(VLOOKUP(F22,'Katalog-Catalogue'!$A$77:$J$173,6,FALSE)),"",VLOOKUP(F22,'Katalog-Catalogue'!$A$77:$J$173,6,FALSE)),IF('Deckblatt-Cover sheet'!$C$5="English",IF(ISERROR(VLOOKUP(F22,'Katalog-Catalogue'!$A$77:$J$173,8,FALSE)),"",VLOOKUP(F22,'Katalog-Catalogue'!$A$77:$J$173,8,FALSE)),IF('Deckblatt-Cover sheet'!$C$5="Chinese",IF(ISERROR(VLOOKUP(F22,'Katalog-Catalogue'!$A$77:$J$173,10,FALSE)),"",VLOOKUP(F22,'Katalog-Catalogue'!$A$77:$J$173,10,FALSE)))))</f>
        <v/>
      </c>
      <c r="U22" s="93"/>
      <c r="V22" s="93"/>
      <c r="W22" s="93"/>
      <c r="X22" s="93"/>
      <c r="Y22" s="93"/>
      <c r="Z22" s="93"/>
      <c r="AA22" s="93"/>
      <c r="AB22" s="93"/>
      <c r="AC22" s="93"/>
      <c r="AD22" s="93"/>
    </row>
    <row r="23" spans="1:30" ht="13.15">
      <c r="A23" s="96">
        <v>16</v>
      </c>
      <c r="B23" s="327" t="str">
        <f>IF('Deckblatt-Cover sheet'!$C$5="German",IF(ISERROR(VLOOKUP(F23,'Katalog-Catalogue'!$A$77:$F$173,2,FALSE)),"",S23&amp;" "&amp;VLOOKUP(F23,'Katalog-Catalogue'!$A$77:$F$173,2,FALSE)),IF('Deckblatt-Cover sheet'!$C$5="English",IF(ISERROR(VLOOKUP(F23,'Katalog-Catalogue'!A89:D185,3,FALSE)),"",S23&amp;" "&amp;VLOOKUP(F23,'Katalog-Catalogue'!$A$77:$F$173,3,FALSE)),IF('Deckblatt-Cover sheet'!$C$5="Chinese",IF(ISERROR(VLOOKUP(F23,'Katalog-Catalogue'!A89:D185,4,FALSE)),"",S23&amp;" "&amp;VLOOKUP(F23,'Katalog-Catalogue'!$A$77:$F$173,4,FALSE)))))</f>
        <v/>
      </c>
      <c r="C23" s="328"/>
      <c r="D23" s="328"/>
      <c r="E23" s="329"/>
      <c r="F23" s="97"/>
      <c r="G23" s="330"/>
      <c r="H23" s="331"/>
      <c r="I23" s="331"/>
      <c r="J23" s="331"/>
      <c r="K23" s="331"/>
      <c r="L23" s="98"/>
      <c r="M23" s="112" t="s">
        <v>5</v>
      </c>
      <c r="N23" s="99"/>
      <c r="O23" s="94">
        <f t="shared" si="0"/>
        <v>0</v>
      </c>
      <c r="P23" s="113" t="s">
        <v>5</v>
      </c>
      <c r="Q23" s="95">
        <f t="shared" si="1"/>
        <v>0</v>
      </c>
      <c r="R23" s="153"/>
      <c r="S23" s="125"/>
      <c r="T23" s="93" t="str">
        <f>IF('Deckblatt-Cover sheet'!$C$5="German",IF(ISERROR(VLOOKUP(F23,'Katalog-Catalogue'!$A$77:$J$173,6,FALSE)),"",VLOOKUP(F23,'Katalog-Catalogue'!$A$77:$J$173,6,FALSE)),IF('Deckblatt-Cover sheet'!$C$5="English",IF(ISERROR(VLOOKUP(F23,'Katalog-Catalogue'!$A$77:$J$173,8,FALSE)),"",VLOOKUP(F23,'Katalog-Catalogue'!$A$77:$J$173,8,FALSE)),IF('Deckblatt-Cover sheet'!$C$5="Chinese",IF(ISERROR(VLOOKUP(F23,'Katalog-Catalogue'!$A$77:$J$173,10,FALSE)),"",VLOOKUP(F23,'Katalog-Catalogue'!$A$77:$J$173,10,FALSE)))))</f>
        <v/>
      </c>
      <c r="U23" s="93"/>
      <c r="V23" s="93"/>
      <c r="W23" s="93"/>
      <c r="X23" s="93"/>
      <c r="Y23" s="93"/>
      <c r="Z23" s="93"/>
      <c r="AA23" s="93"/>
      <c r="AB23" s="93"/>
      <c r="AC23" s="93"/>
      <c r="AD23" s="93"/>
    </row>
    <row r="24" spans="1:30" ht="13.15">
      <c r="A24" s="96">
        <v>17</v>
      </c>
      <c r="B24" s="327" t="str">
        <f>IF('Deckblatt-Cover sheet'!$C$5="German",IF(ISERROR(VLOOKUP(F24,'Katalog-Catalogue'!$A$77:$F$173,2,FALSE)),"",S24&amp;" "&amp;VLOOKUP(F24,'Katalog-Catalogue'!$A$77:$F$173,2,FALSE)),IF('Deckblatt-Cover sheet'!$C$5="English",IF(ISERROR(VLOOKUP(F24,'Katalog-Catalogue'!A90:D186,3,FALSE)),"",S24&amp;" "&amp;VLOOKUP(F24,'Katalog-Catalogue'!$A$77:$F$173,3,FALSE)),IF('Deckblatt-Cover sheet'!$C$5="Chinese",IF(ISERROR(VLOOKUP(F24,'Katalog-Catalogue'!A90:D186,4,FALSE)),"",S24&amp;" "&amp;VLOOKUP(F24,'Katalog-Catalogue'!$A$77:$F$173,4,FALSE)))))</f>
        <v/>
      </c>
      <c r="C24" s="328"/>
      <c r="D24" s="328"/>
      <c r="E24" s="329"/>
      <c r="F24" s="97"/>
      <c r="G24" s="330"/>
      <c r="H24" s="331"/>
      <c r="I24" s="331"/>
      <c r="J24" s="331"/>
      <c r="K24" s="331"/>
      <c r="L24" s="98"/>
      <c r="M24" s="112" t="s">
        <v>5</v>
      </c>
      <c r="N24" s="99"/>
      <c r="O24" s="94">
        <f t="shared" si="0"/>
        <v>0</v>
      </c>
      <c r="P24" s="113" t="s">
        <v>5</v>
      </c>
      <c r="Q24" s="95">
        <f t="shared" si="1"/>
        <v>0</v>
      </c>
      <c r="R24" s="153"/>
      <c r="S24" s="125"/>
      <c r="T24" s="93" t="str">
        <f>IF('Deckblatt-Cover sheet'!$C$5="German",IF(ISERROR(VLOOKUP(F24,'Katalog-Catalogue'!$A$77:$J$173,6,FALSE)),"",VLOOKUP(F24,'Katalog-Catalogue'!$A$77:$J$173,6,FALSE)),IF('Deckblatt-Cover sheet'!$C$5="English",IF(ISERROR(VLOOKUP(F24,'Katalog-Catalogue'!$A$77:$J$173,8,FALSE)),"",VLOOKUP(F24,'Katalog-Catalogue'!$A$77:$J$173,8,FALSE)),IF('Deckblatt-Cover sheet'!$C$5="Chinese",IF(ISERROR(VLOOKUP(F24,'Katalog-Catalogue'!$A$77:$J$173,10,FALSE)),"",VLOOKUP(F24,'Katalog-Catalogue'!$A$77:$J$173,10,FALSE)))))</f>
        <v/>
      </c>
      <c r="U24" s="93"/>
      <c r="V24" s="93"/>
      <c r="W24" s="93"/>
      <c r="X24" s="93"/>
      <c r="Y24" s="93"/>
      <c r="Z24" s="93"/>
      <c r="AA24" s="93"/>
      <c r="AB24" s="93"/>
      <c r="AC24" s="93"/>
      <c r="AD24" s="93"/>
    </row>
    <row r="25" spans="1:30" ht="13.15">
      <c r="A25" s="96">
        <v>18</v>
      </c>
      <c r="B25" s="327" t="str">
        <f>IF('Deckblatt-Cover sheet'!$C$5="German",IF(ISERROR(VLOOKUP(F25,'Katalog-Catalogue'!$A$77:$F$173,2,FALSE)),"",S25&amp;" "&amp;VLOOKUP(F25,'Katalog-Catalogue'!$A$77:$F$173,2,FALSE)),IF('Deckblatt-Cover sheet'!$C$5="English",IF(ISERROR(VLOOKUP(F25,'Katalog-Catalogue'!A91:D187,3,FALSE)),"",S25&amp;" "&amp;VLOOKUP(F25,'Katalog-Catalogue'!$A$77:$F$173,3,FALSE)),IF('Deckblatt-Cover sheet'!$C$5="Chinese",IF(ISERROR(VLOOKUP(F25,'Katalog-Catalogue'!A91:D187,4,FALSE)),"",S25&amp;" "&amp;VLOOKUP(F25,'Katalog-Catalogue'!$A$77:$F$173,4,FALSE)))))</f>
        <v/>
      </c>
      <c r="C25" s="328"/>
      <c r="D25" s="328"/>
      <c r="E25" s="329"/>
      <c r="F25" s="97"/>
      <c r="G25" s="330"/>
      <c r="H25" s="331"/>
      <c r="I25" s="331"/>
      <c r="J25" s="331"/>
      <c r="K25" s="331"/>
      <c r="L25" s="98"/>
      <c r="M25" s="112" t="s">
        <v>5</v>
      </c>
      <c r="N25" s="99"/>
      <c r="O25" s="94">
        <f t="shared" si="0"/>
        <v>0</v>
      </c>
      <c r="P25" s="113" t="s">
        <v>5</v>
      </c>
      <c r="Q25" s="95">
        <f t="shared" si="1"/>
        <v>0</v>
      </c>
      <c r="R25" s="153"/>
      <c r="S25" s="125"/>
      <c r="T25" s="93" t="str">
        <f>IF('Deckblatt-Cover sheet'!$C$5="German",IF(ISERROR(VLOOKUP(F25,'Katalog-Catalogue'!$A$77:$J$173,6,FALSE)),"",VLOOKUP(F25,'Katalog-Catalogue'!$A$77:$J$173,6,FALSE)),IF('Deckblatt-Cover sheet'!$C$5="English",IF(ISERROR(VLOOKUP(F25,'Katalog-Catalogue'!$A$77:$J$173,8,FALSE)),"",VLOOKUP(F25,'Katalog-Catalogue'!$A$77:$J$173,8,FALSE)),IF('Deckblatt-Cover sheet'!$C$5="Chinese",IF(ISERROR(VLOOKUP(F25,'Katalog-Catalogue'!$A$77:$J$173,10,FALSE)),"",VLOOKUP(F25,'Katalog-Catalogue'!$A$77:$J$173,10,FALSE)))))</f>
        <v/>
      </c>
      <c r="U25" s="93"/>
      <c r="V25" s="93"/>
      <c r="W25" s="93"/>
      <c r="X25" s="93"/>
      <c r="Y25" s="93"/>
      <c r="Z25" s="93"/>
      <c r="AA25" s="93"/>
      <c r="AB25" s="93"/>
      <c r="AC25" s="93"/>
      <c r="AD25" s="93"/>
    </row>
    <row r="26" spans="1:30" ht="13.15">
      <c r="A26" s="96">
        <v>19</v>
      </c>
      <c r="B26" s="327" t="str">
        <f>IF('Deckblatt-Cover sheet'!$C$5="German",IF(ISERROR(VLOOKUP(F26,'Katalog-Catalogue'!$A$77:$F$173,2,FALSE)),"",S26&amp;" "&amp;VLOOKUP(F26,'Katalog-Catalogue'!$A$77:$F$173,2,FALSE)),IF('Deckblatt-Cover sheet'!$C$5="English",IF(ISERROR(VLOOKUP(F26,'Katalog-Catalogue'!A92:D188,3,FALSE)),"",S26&amp;" "&amp;VLOOKUP(F26,'Katalog-Catalogue'!$A$77:$F$173,3,FALSE)),IF('Deckblatt-Cover sheet'!$C$5="Chinese",IF(ISERROR(VLOOKUP(F26,'Katalog-Catalogue'!A92:D188,4,FALSE)),"",S26&amp;" "&amp;VLOOKUP(F26,'Katalog-Catalogue'!$A$77:$F$173,4,FALSE)))))</f>
        <v/>
      </c>
      <c r="C26" s="328"/>
      <c r="D26" s="328"/>
      <c r="E26" s="329"/>
      <c r="F26" s="97"/>
      <c r="G26" s="330"/>
      <c r="H26" s="331"/>
      <c r="I26" s="331"/>
      <c r="J26" s="331"/>
      <c r="K26" s="331"/>
      <c r="L26" s="98"/>
      <c r="M26" s="112" t="s">
        <v>5</v>
      </c>
      <c r="N26" s="99"/>
      <c r="O26" s="94">
        <f t="shared" si="0"/>
        <v>0</v>
      </c>
      <c r="P26" s="113" t="s">
        <v>5</v>
      </c>
      <c r="Q26" s="95">
        <f t="shared" si="1"/>
        <v>0</v>
      </c>
      <c r="R26" s="153"/>
      <c r="S26" s="125"/>
      <c r="T26" s="93" t="str">
        <f>IF('Deckblatt-Cover sheet'!$C$5="German",IF(ISERROR(VLOOKUP(F26,'Katalog-Catalogue'!$A$77:$J$173,6,FALSE)),"",VLOOKUP(F26,'Katalog-Catalogue'!$A$77:$J$173,6,FALSE)),IF('Deckblatt-Cover sheet'!$C$5="English",IF(ISERROR(VLOOKUP(F26,'Katalog-Catalogue'!$A$77:$J$173,8,FALSE)),"",VLOOKUP(F26,'Katalog-Catalogue'!$A$77:$J$173,8,FALSE)),IF('Deckblatt-Cover sheet'!$C$5="Chinese",IF(ISERROR(VLOOKUP(F26,'Katalog-Catalogue'!$A$77:$J$173,10,FALSE)),"",VLOOKUP(F26,'Katalog-Catalogue'!$A$77:$J$173,10,FALSE)))))</f>
        <v/>
      </c>
      <c r="U26" s="93"/>
      <c r="V26" s="93"/>
      <c r="W26" s="93"/>
      <c r="X26" s="93"/>
      <c r="Y26" s="93"/>
      <c r="Z26" s="93"/>
      <c r="AA26" s="93"/>
      <c r="AB26" s="93"/>
      <c r="AC26" s="93"/>
      <c r="AD26" s="93"/>
    </row>
    <row r="27" spans="1:30" ht="13.15">
      <c r="A27" s="96">
        <v>20</v>
      </c>
      <c r="B27" s="327" t="str">
        <f>IF('Deckblatt-Cover sheet'!$C$5="German",IF(ISERROR(VLOOKUP(F27,'Katalog-Catalogue'!$A$77:$F$173,2,FALSE)),"",S27&amp;" "&amp;VLOOKUP(F27,'Katalog-Catalogue'!$A$77:$F$173,2,FALSE)),IF('Deckblatt-Cover sheet'!$C$5="English",IF(ISERROR(VLOOKUP(F27,'Katalog-Catalogue'!A93:D189,3,FALSE)),"",S27&amp;" "&amp;VLOOKUP(F27,'Katalog-Catalogue'!$A$77:$F$173,3,FALSE)),IF('Deckblatt-Cover sheet'!$C$5="Chinese",IF(ISERROR(VLOOKUP(F27,'Katalog-Catalogue'!A93:D189,4,FALSE)),"",S27&amp;" "&amp;VLOOKUP(F27,'Katalog-Catalogue'!$A$77:$F$173,4,FALSE)))))</f>
        <v/>
      </c>
      <c r="C27" s="328"/>
      <c r="D27" s="328"/>
      <c r="E27" s="329"/>
      <c r="F27" s="97"/>
      <c r="G27" s="330"/>
      <c r="H27" s="331"/>
      <c r="I27" s="331"/>
      <c r="J27" s="331"/>
      <c r="K27" s="331"/>
      <c r="L27" s="98"/>
      <c r="M27" s="112" t="s">
        <v>5</v>
      </c>
      <c r="N27" s="99"/>
      <c r="O27" s="94">
        <f t="shared" si="0"/>
        <v>0</v>
      </c>
      <c r="P27" s="113" t="s">
        <v>5</v>
      </c>
      <c r="Q27" s="95">
        <f t="shared" si="1"/>
        <v>0</v>
      </c>
      <c r="R27" s="153"/>
      <c r="S27" s="125"/>
      <c r="T27" s="93" t="str">
        <f>IF('Deckblatt-Cover sheet'!$C$5="German",IF(ISERROR(VLOOKUP(F27,'Katalog-Catalogue'!$A$77:$J$173,6,FALSE)),"",VLOOKUP(F27,'Katalog-Catalogue'!$A$77:$J$173,6,FALSE)),IF('Deckblatt-Cover sheet'!$C$5="English",IF(ISERROR(VLOOKUP(F27,'Katalog-Catalogue'!$A$77:$J$173,8,FALSE)),"",VLOOKUP(F27,'Katalog-Catalogue'!$A$77:$J$173,8,FALSE)),IF('Deckblatt-Cover sheet'!$C$5="Chinese",IF(ISERROR(VLOOKUP(F27,'Katalog-Catalogue'!$A$77:$J$173,10,FALSE)),"",VLOOKUP(F27,'Katalog-Catalogue'!$A$77:$J$173,10,FALSE)))))</f>
        <v/>
      </c>
      <c r="U27" s="93"/>
      <c r="V27" s="93"/>
      <c r="W27" s="93"/>
      <c r="X27" s="93"/>
      <c r="Y27" s="93"/>
      <c r="Z27" s="93"/>
      <c r="AA27" s="93"/>
      <c r="AB27" s="93"/>
      <c r="AC27" s="93"/>
      <c r="AD27" s="93"/>
    </row>
    <row r="28" spans="1:30" ht="13.15">
      <c r="A28" s="96">
        <v>21</v>
      </c>
      <c r="B28" s="327" t="str">
        <f>IF('Deckblatt-Cover sheet'!$C$5="German",IF(ISERROR(VLOOKUP(F28,'Katalog-Catalogue'!$A$77:$F$173,2,FALSE)),"",S28&amp;" "&amp;VLOOKUP(F28,'Katalog-Catalogue'!$A$77:$F$173,2,FALSE)),IF('Deckblatt-Cover sheet'!$C$5="English",IF(ISERROR(VLOOKUP(F28,'Katalog-Catalogue'!A94:D190,3,FALSE)),"",S28&amp;" "&amp;VLOOKUP(F28,'Katalog-Catalogue'!$A$77:$F$173,3,FALSE)),IF('Deckblatt-Cover sheet'!$C$5="Chinese",IF(ISERROR(VLOOKUP(F28,'Katalog-Catalogue'!A94:D190,4,FALSE)),"",S28&amp;" "&amp;VLOOKUP(F28,'Katalog-Catalogue'!$A$77:$F$173,4,FALSE)))))</f>
        <v/>
      </c>
      <c r="C28" s="328"/>
      <c r="D28" s="328"/>
      <c r="E28" s="329"/>
      <c r="F28" s="97"/>
      <c r="G28" s="330"/>
      <c r="H28" s="331"/>
      <c r="I28" s="331"/>
      <c r="J28" s="331"/>
      <c r="K28" s="331"/>
      <c r="L28" s="98"/>
      <c r="M28" s="112" t="s">
        <v>5</v>
      </c>
      <c r="N28" s="99"/>
      <c r="O28" s="94">
        <f t="shared" si="0"/>
        <v>0</v>
      </c>
      <c r="P28" s="113" t="s">
        <v>5</v>
      </c>
      <c r="Q28" s="95">
        <f t="shared" si="1"/>
        <v>0</v>
      </c>
      <c r="R28" s="153"/>
      <c r="S28" s="125"/>
      <c r="T28" s="93" t="str">
        <f>IF('Deckblatt-Cover sheet'!$C$5="German",IF(ISERROR(VLOOKUP(F28,'Katalog-Catalogue'!$A$77:$J$173,6,FALSE)),"",VLOOKUP(F28,'Katalog-Catalogue'!$A$77:$J$173,6,FALSE)),IF('Deckblatt-Cover sheet'!$C$5="English",IF(ISERROR(VLOOKUP(F28,'Katalog-Catalogue'!$A$77:$J$173,8,FALSE)),"",VLOOKUP(F28,'Katalog-Catalogue'!$A$77:$J$173,8,FALSE)),IF('Deckblatt-Cover sheet'!$C$5="Chinese",IF(ISERROR(VLOOKUP(F28,'Katalog-Catalogue'!$A$77:$J$173,10,FALSE)),"",VLOOKUP(F28,'Katalog-Catalogue'!$A$77:$J$173,10,FALSE)))))</f>
        <v/>
      </c>
      <c r="U28" s="93"/>
      <c r="V28" s="93"/>
      <c r="W28" s="93"/>
      <c r="X28" s="93"/>
      <c r="Y28" s="93"/>
      <c r="Z28" s="93"/>
      <c r="AA28" s="93"/>
      <c r="AB28" s="93"/>
      <c r="AC28" s="93"/>
      <c r="AD28" s="93"/>
    </row>
    <row r="29" spans="1:30" ht="13.15">
      <c r="A29" s="96">
        <v>22</v>
      </c>
      <c r="B29" s="327" t="str">
        <f>IF('Deckblatt-Cover sheet'!$C$5="German",IF(ISERROR(VLOOKUP(F29,'Katalog-Catalogue'!$A$77:$F$173,2,FALSE)),"",S29&amp;" "&amp;VLOOKUP(F29,'Katalog-Catalogue'!$A$77:$F$173,2,FALSE)),IF('Deckblatt-Cover sheet'!$C$5="English",IF(ISERROR(VLOOKUP(F29,'Katalog-Catalogue'!A95:D191,3,FALSE)),"",S29&amp;" "&amp;VLOOKUP(F29,'Katalog-Catalogue'!$A$77:$F$173,3,FALSE)),IF('Deckblatt-Cover sheet'!$C$5="Chinese",IF(ISERROR(VLOOKUP(F29,'Katalog-Catalogue'!A95:D191,4,FALSE)),"",S29&amp;" "&amp;VLOOKUP(F29,'Katalog-Catalogue'!$A$77:$F$173,4,FALSE)))))</f>
        <v/>
      </c>
      <c r="C29" s="328"/>
      <c r="D29" s="328"/>
      <c r="E29" s="329"/>
      <c r="F29" s="97"/>
      <c r="G29" s="330"/>
      <c r="H29" s="331"/>
      <c r="I29" s="331"/>
      <c r="J29" s="331"/>
      <c r="K29" s="331"/>
      <c r="L29" s="98"/>
      <c r="M29" s="112" t="s">
        <v>5</v>
      </c>
      <c r="N29" s="99"/>
      <c r="O29" s="94">
        <f t="shared" si="0"/>
        <v>0</v>
      </c>
      <c r="P29" s="113" t="s">
        <v>5</v>
      </c>
      <c r="Q29" s="95">
        <f t="shared" si="1"/>
        <v>0</v>
      </c>
      <c r="R29" s="153"/>
      <c r="S29" s="125"/>
      <c r="T29" s="93" t="str">
        <f>IF('Deckblatt-Cover sheet'!$C$5="German",IF(ISERROR(VLOOKUP(F29,'Katalog-Catalogue'!$A$77:$J$173,6,FALSE)),"",VLOOKUP(F29,'Katalog-Catalogue'!$A$77:$J$173,6,FALSE)),IF('Deckblatt-Cover sheet'!$C$5="English",IF(ISERROR(VLOOKUP(F29,'Katalog-Catalogue'!$A$77:$J$173,8,FALSE)),"",VLOOKUP(F29,'Katalog-Catalogue'!$A$77:$J$173,8,FALSE)),IF('Deckblatt-Cover sheet'!$C$5="Chinese",IF(ISERROR(VLOOKUP(F29,'Katalog-Catalogue'!$A$77:$J$173,10,FALSE)),"",VLOOKUP(F29,'Katalog-Catalogue'!$A$77:$J$173,10,FALSE)))))</f>
        <v/>
      </c>
      <c r="U29" s="93"/>
      <c r="V29" s="93"/>
      <c r="W29" s="93"/>
      <c r="X29" s="93"/>
      <c r="Y29" s="93"/>
      <c r="Z29" s="93"/>
      <c r="AA29" s="93"/>
      <c r="AB29" s="93"/>
      <c r="AC29" s="93"/>
      <c r="AD29" s="93"/>
    </row>
    <row r="30" spans="1:30" ht="13.15">
      <c r="A30" s="96">
        <v>23</v>
      </c>
      <c r="B30" s="327" t="str">
        <f>IF('Deckblatt-Cover sheet'!$C$5="German",IF(ISERROR(VLOOKUP(F30,'Katalog-Catalogue'!$A$77:$F$173,2,FALSE)),"",S30&amp;" "&amp;VLOOKUP(F30,'Katalog-Catalogue'!$A$77:$F$173,2,FALSE)),IF('Deckblatt-Cover sheet'!$C$5="English",IF(ISERROR(VLOOKUP(F30,'Katalog-Catalogue'!A96:D192,3,FALSE)),"",S30&amp;" "&amp;VLOOKUP(F30,'Katalog-Catalogue'!$A$77:$F$173,3,FALSE)),IF('Deckblatt-Cover sheet'!$C$5="Chinese",IF(ISERROR(VLOOKUP(F30,'Katalog-Catalogue'!A96:D192,4,FALSE)),"",S30&amp;" "&amp;VLOOKUP(F30,'Katalog-Catalogue'!$A$77:$F$173,4,FALSE)))))</f>
        <v/>
      </c>
      <c r="C30" s="328"/>
      <c r="D30" s="328"/>
      <c r="E30" s="329"/>
      <c r="F30" s="97"/>
      <c r="G30" s="330"/>
      <c r="H30" s="331"/>
      <c r="I30" s="331"/>
      <c r="J30" s="331"/>
      <c r="K30" s="331"/>
      <c r="L30" s="98"/>
      <c r="M30" s="112" t="s">
        <v>5</v>
      </c>
      <c r="N30" s="99"/>
      <c r="O30" s="94">
        <f t="shared" si="0"/>
        <v>0</v>
      </c>
      <c r="P30" s="113" t="s">
        <v>5</v>
      </c>
      <c r="Q30" s="95">
        <f t="shared" si="1"/>
        <v>0</v>
      </c>
      <c r="R30" s="153"/>
      <c r="S30" s="125"/>
      <c r="T30" s="93" t="str">
        <f>IF('Deckblatt-Cover sheet'!$C$5="German",IF(ISERROR(VLOOKUP(F30,'Katalog-Catalogue'!$A$77:$J$173,6,FALSE)),"",VLOOKUP(F30,'Katalog-Catalogue'!$A$77:$J$173,6,FALSE)),IF('Deckblatt-Cover sheet'!$C$5="English",IF(ISERROR(VLOOKUP(F30,'Katalog-Catalogue'!$A$77:$J$173,8,FALSE)),"",VLOOKUP(F30,'Katalog-Catalogue'!$A$77:$J$173,8,FALSE)),IF('Deckblatt-Cover sheet'!$C$5="Chinese",IF(ISERROR(VLOOKUP(F30,'Katalog-Catalogue'!$A$77:$J$173,10,FALSE)),"",VLOOKUP(F30,'Katalog-Catalogue'!$A$77:$J$173,10,FALSE)))))</f>
        <v/>
      </c>
      <c r="U30" s="93"/>
      <c r="V30" s="93"/>
      <c r="W30" s="93"/>
      <c r="X30" s="93"/>
      <c r="Y30" s="93"/>
      <c r="Z30" s="93"/>
      <c r="AA30" s="93"/>
      <c r="AB30" s="93"/>
      <c r="AC30" s="93"/>
      <c r="AD30" s="93"/>
    </row>
    <row r="31" spans="1:30" ht="13.15">
      <c r="A31" s="96">
        <v>24</v>
      </c>
      <c r="B31" s="327" t="str">
        <f>IF('Deckblatt-Cover sheet'!$C$5="German",IF(ISERROR(VLOOKUP(F31,'Katalog-Catalogue'!$A$77:$F$173,2,FALSE)),"",S31&amp;" "&amp;VLOOKUP(F31,'Katalog-Catalogue'!$A$77:$F$173,2,FALSE)),IF('Deckblatt-Cover sheet'!$C$5="English",IF(ISERROR(VLOOKUP(F31,'Katalog-Catalogue'!A97:D193,3,FALSE)),"",S31&amp;" "&amp;VLOOKUP(F31,'Katalog-Catalogue'!$A$77:$F$173,3,FALSE)),IF('Deckblatt-Cover sheet'!$C$5="Chinese",IF(ISERROR(VLOOKUP(F31,'Katalog-Catalogue'!A97:D193,4,FALSE)),"",S31&amp;" "&amp;VLOOKUP(F31,'Katalog-Catalogue'!$A$77:$F$173,4,FALSE)))))</f>
        <v/>
      </c>
      <c r="C31" s="328"/>
      <c r="D31" s="328"/>
      <c r="E31" s="329"/>
      <c r="F31" s="97"/>
      <c r="G31" s="330"/>
      <c r="H31" s="331"/>
      <c r="I31" s="331"/>
      <c r="J31" s="331"/>
      <c r="K31" s="331"/>
      <c r="L31" s="98"/>
      <c r="M31" s="112" t="s">
        <v>5</v>
      </c>
      <c r="N31" s="99"/>
      <c r="O31" s="94">
        <f t="shared" si="0"/>
        <v>0</v>
      </c>
      <c r="P31" s="113" t="s">
        <v>5</v>
      </c>
      <c r="Q31" s="95">
        <f t="shared" si="1"/>
        <v>0</v>
      </c>
      <c r="R31" s="153"/>
      <c r="S31" s="125"/>
      <c r="T31" s="93" t="str">
        <f>IF('Deckblatt-Cover sheet'!$C$5="German",IF(ISERROR(VLOOKUP(F31,'Katalog-Catalogue'!$A$77:$J$173,6,FALSE)),"",VLOOKUP(F31,'Katalog-Catalogue'!$A$77:$J$173,6,FALSE)),IF('Deckblatt-Cover sheet'!$C$5="English",IF(ISERROR(VLOOKUP(F31,'Katalog-Catalogue'!$A$77:$J$173,8,FALSE)),"",VLOOKUP(F31,'Katalog-Catalogue'!$A$77:$J$173,8,FALSE)),IF('Deckblatt-Cover sheet'!$C$5="Chinese",IF(ISERROR(VLOOKUP(F31,'Katalog-Catalogue'!$A$77:$J$173,10,FALSE)),"",VLOOKUP(F31,'Katalog-Catalogue'!$A$77:$J$173,10,FALSE)))))</f>
        <v/>
      </c>
      <c r="U31" s="93"/>
      <c r="V31" s="93"/>
      <c r="W31" s="93"/>
      <c r="X31" s="93"/>
      <c r="Y31" s="93"/>
      <c r="Z31" s="93"/>
      <c r="AA31" s="93"/>
      <c r="AB31" s="93"/>
      <c r="AC31" s="93"/>
      <c r="AD31" s="93"/>
    </row>
    <row r="32" spans="1:30" ht="13.15">
      <c r="A32" s="96">
        <v>25</v>
      </c>
      <c r="B32" s="327" t="str">
        <f>IF('Deckblatt-Cover sheet'!$C$5="German",IF(ISERROR(VLOOKUP(F32,'Katalog-Catalogue'!$A$77:$F$173,2,FALSE)),"",S32&amp;" "&amp;VLOOKUP(F32,'Katalog-Catalogue'!$A$77:$F$173,2,FALSE)),IF('Deckblatt-Cover sheet'!$C$5="English",IF(ISERROR(VLOOKUP(F32,'Katalog-Catalogue'!A98:D194,3,FALSE)),"",S32&amp;" "&amp;VLOOKUP(F32,'Katalog-Catalogue'!$A$77:$F$173,3,FALSE)),IF('Deckblatt-Cover sheet'!$C$5="Chinese",IF(ISERROR(VLOOKUP(F32,'Katalog-Catalogue'!A98:D194,4,FALSE)),"",S32&amp;" "&amp;VLOOKUP(F32,'Katalog-Catalogue'!$A$77:$F$173,4,FALSE)))))</f>
        <v/>
      </c>
      <c r="C32" s="328"/>
      <c r="D32" s="328"/>
      <c r="E32" s="329"/>
      <c r="F32" s="97"/>
      <c r="G32" s="330"/>
      <c r="H32" s="331"/>
      <c r="I32" s="331"/>
      <c r="J32" s="331"/>
      <c r="K32" s="331"/>
      <c r="L32" s="98"/>
      <c r="M32" s="112" t="s">
        <v>5</v>
      </c>
      <c r="N32" s="99"/>
      <c r="O32" s="94">
        <f t="shared" si="0"/>
        <v>0</v>
      </c>
      <c r="P32" s="113" t="s">
        <v>5</v>
      </c>
      <c r="Q32" s="95">
        <f t="shared" si="1"/>
        <v>0</v>
      </c>
      <c r="R32" s="153"/>
      <c r="S32" s="125"/>
      <c r="T32" s="93" t="str">
        <f>IF('Deckblatt-Cover sheet'!$C$5="German",IF(ISERROR(VLOOKUP(F32,'Katalog-Catalogue'!$A$77:$J$173,6,FALSE)),"",VLOOKUP(F32,'Katalog-Catalogue'!$A$77:$J$173,6,FALSE)),IF('Deckblatt-Cover sheet'!$C$5="English",IF(ISERROR(VLOOKUP(F32,'Katalog-Catalogue'!$A$77:$J$173,8,FALSE)),"",VLOOKUP(F32,'Katalog-Catalogue'!$A$77:$J$173,8,FALSE)),IF('Deckblatt-Cover sheet'!$C$5="Chinese",IF(ISERROR(VLOOKUP(F32,'Katalog-Catalogue'!$A$77:$J$173,10,FALSE)),"",VLOOKUP(F32,'Katalog-Catalogue'!$A$77:$J$173,10,FALSE)))))</f>
        <v/>
      </c>
      <c r="U32" s="93"/>
      <c r="V32" s="93"/>
      <c r="W32" s="93"/>
      <c r="X32" s="93"/>
      <c r="Y32" s="93"/>
      <c r="Z32" s="93"/>
      <c r="AA32" s="93"/>
      <c r="AB32" s="93"/>
      <c r="AC32" s="93"/>
      <c r="AD32" s="93"/>
    </row>
    <row r="33" spans="1:30" ht="13.15">
      <c r="A33" s="96">
        <v>26</v>
      </c>
      <c r="B33" s="327" t="str">
        <f>IF('Deckblatt-Cover sheet'!$C$5="German",IF(ISERROR(VLOOKUP(F33,'Katalog-Catalogue'!$A$77:$F$173,2,FALSE)),"",S33&amp;" "&amp;VLOOKUP(F33,'Katalog-Catalogue'!$A$77:$F$173,2,FALSE)),IF('Deckblatt-Cover sheet'!$C$5="English",IF(ISERROR(VLOOKUP(F33,'Katalog-Catalogue'!A99:D195,3,FALSE)),"",S33&amp;" "&amp;VLOOKUP(F33,'Katalog-Catalogue'!$A$77:$F$173,3,FALSE)),IF('Deckblatt-Cover sheet'!$C$5="Chinese",IF(ISERROR(VLOOKUP(F33,'Katalog-Catalogue'!A99:D195,4,FALSE)),"",S33&amp;" "&amp;VLOOKUP(F33,'Katalog-Catalogue'!$A$77:$F$173,4,FALSE)))))</f>
        <v/>
      </c>
      <c r="C33" s="328"/>
      <c r="D33" s="328"/>
      <c r="E33" s="329"/>
      <c r="F33" s="97"/>
      <c r="G33" s="330"/>
      <c r="H33" s="331"/>
      <c r="I33" s="331"/>
      <c r="J33" s="331"/>
      <c r="K33" s="331"/>
      <c r="L33" s="98"/>
      <c r="M33" s="112" t="s">
        <v>5</v>
      </c>
      <c r="N33" s="99"/>
      <c r="O33" s="94">
        <f t="shared" si="0"/>
        <v>0</v>
      </c>
      <c r="P33" s="113" t="s">
        <v>5</v>
      </c>
      <c r="Q33" s="95">
        <f t="shared" si="1"/>
        <v>0</v>
      </c>
      <c r="R33" s="153"/>
      <c r="S33" s="125"/>
      <c r="T33" s="93" t="str">
        <f>IF('Deckblatt-Cover sheet'!$C$5="German",IF(ISERROR(VLOOKUP(F33,'Katalog-Catalogue'!$A$77:$J$173,6,FALSE)),"",VLOOKUP(F33,'Katalog-Catalogue'!$A$77:$J$173,6,FALSE)),IF('Deckblatt-Cover sheet'!$C$5="English",IF(ISERROR(VLOOKUP(F33,'Katalog-Catalogue'!$A$77:$J$173,8,FALSE)),"",VLOOKUP(F33,'Katalog-Catalogue'!$A$77:$J$173,8,FALSE)),IF('Deckblatt-Cover sheet'!$C$5="Chinese",IF(ISERROR(VLOOKUP(F33,'Katalog-Catalogue'!$A$77:$J$173,10,FALSE)),"",VLOOKUP(F33,'Katalog-Catalogue'!$A$77:$J$173,10,FALSE)))))</f>
        <v/>
      </c>
      <c r="U33" s="93"/>
      <c r="V33" s="93"/>
      <c r="W33" s="93"/>
      <c r="X33" s="93"/>
      <c r="Y33" s="93"/>
      <c r="Z33" s="93"/>
      <c r="AA33" s="93"/>
      <c r="AB33" s="93"/>
      <c r="AC33" s="93"/>
      <c r="AD33" s="93"/>
    </row>
    <row r="34" spans="1:30" ht="13.15">
      <c r="A34" s="96">
        <v>27</v>
      </c>
      <c r="B34" s="327" t="str">
        <f>IF('Deckblatt-Cover sheet'!$C$5="German",IF(ISERROR(VLOOKUP(F34,'Katalog-Catalogue'!$A$77:$F$173,2,FALSE)),"",S34&amp;" "&amp;VLOOKUP(F34,'Katalog-Catalogue'!$A$77:$F$173,2,FALSE)),IF('Deckblatt-Cover sheet'!$C$5="English",IF(ISERROR(VLOOKUP(F34,'Katalog-Catalogue'!A100:D196,3,FALSE)),"",S34&amp;" "&amp;VLOOKUP(F34,'Katalog-Catalogue'!$A$77:$F$173,3,FALSE)),IF('Deckblatt-Cover sheet'!$C$5="Chinese",IF(ISERROR(VLOOKUP(F34,'Katalog-Catalogue'!A100:D196,4,FALSE)),"",S34&amp;" "&amp;VLOOKUP(F34,'Katalog-Catalogue'!$A$77:$F$173,4,FALSE)))))</f>
        <v/>
      </c>
      <c r="C34" s="328"/>
      <c r="D34" s="328"/>
      <c r="E34" s="329"/>
      <c r="F34" s="97"/>
      <c r="G34" s="330"/>
      <c r="H34" s="331"/>
      <c r="I34" s="331"/>
      <c r="J34" s="331"/>
      <c r="K34" s="331"/>
      <c r="L34" s="98"/>
      <c r="M34" s="112" t="s">
        <v>5</v>
      </c>
      <c r="N34" s="99"/>
      <c r="O34" s="94">
        <f t="shared" si="0"/>
        <v>0</v>
      </c>
      <c r="P34" s="113" t="s">
        <v>5</v>
      </c>
      <c r="Q34" s="95">
        <f t="shared" si="1"/>
        <v>0</v>
      </c>
      <c r="R34" s="153"/>
      <c r="S34" s="125"/>
      <c r="T34" s="93" t="str">
        <f>IF('Deckblatt-Cover sheet'!$C$5="German",IF(ISERROR(VLOOKUP(F34,'Katalog-Catalogue'!$A$77:$J$173,6,FALSE)),"",VLOOKUP(F34,'Katalog-Catalogue'!$A$77:$J$173,6,FALSE)),IF('Deckblatt-Cover sheet'!$C$5="English",IF(ISERROR(VLOOKUP(F34,'Katalog-Catalogue'!$A$77:$J$173,8,FALSE)),"",VLOOKUP(F34,'Katalog-Catalogue'!$A$77:$J$173,8,FALSE)),IF('Deckblatt-Cover sheet'!$C$5="Chinese",IF(ISERROR(VLOOKUP(F34,'Katalog-Catalogue'!$A$77:$J$173,10,FALSE)),"",VLOOKUP(F34,'Katalog-Catalogue'!$A$77:$J$173,10,FALSE)))))</f>
        <v/>
      </c>
      <c r="U34" s="93"/>
      <c r="V34" s="93"/>
      <c r="W34" s="93"/>
      <c r="X34" s="93"/>
      <c r="Y34" s="93"/>
      <c r="Z34" s="93"/>
      <c r="AA34" s="93"/>
      <c r="AB34" s="93"/>
      <c r="AC34" s="93"/>
      <c r="AD34" s="93"/>
    </row>
    <row r="35" spans="1:30" ht="13.15">
      <c r="A35" s="96">
        <v>28</v>
      </c>
      <c r="B35" s="327" t="str">
        <f>IF('Deckblatt-Cover sheet'!$C$5="German",IF(ISERROR(VLOOKUP(F35,'Katalog-Catalogue'!$A$77:$F$173,2,FALSE)),"",S35&amp;" "&amp;VLOOKUP(F35,'Katalog-Catalogue'!$A$77:$F$173,2,FALSE)),IF('Deckblatt-Cover sheet'!$C$5="English",IF(ISERROR(VLOOKUP(F35,'Katalog-Catalogue'!A101:D197,3,FALSE)),"",S35&amp;" "&amp;VLOOKUP(F35,'Katalog-Catalogue'!$A$77:$F$173,3,FALSE)),IF('Deckblatt-Cover sheet'!$C$5="Chinese",IF(ISERROR(VLOOKUP(F35,'Katalog-Catalogue'!A101:D197,4,FALSE)),"",S35&amp;" "&amp;VLOOKUP(F35,'Katalog-Catalogue'!$A$77:$F$173,4,FALSE)))))</f>
        <v/>
      </c>
      <c r="C35" s="328"/>
      <c r="D35" s="328"/>
      <c r="E35" s="329"/>
      <c r="F35" s="97"/>
      <c r="G35" s="330"/>
      <c r="H35" s="331"/>
      <c r="I35" s="331"/>
      <c r="J35" s="331"/>
      <c r="K35" s="331"/>
      <c r="L35" s="98"/>
      <c r="M35" s="112" t="s">
        <v>5</v>
      </c>
      <c r="N35" s="99"/>
      <c r="O35" s="94">
        <f t="shared" si="0"/>
        <v>0</v>
      </c>
      <c r="P35" s="113" t="s">
        <v>5</v>
      </c>
      <c r="Q35" s="95">
        <f t="shared" si="1"/>
        <v>0</v>
      </c>
      <c r="R35" s="153"/>
      <c r="S35" s="125"/>
      <c r="T35" s="93" t="str">
        <f>IF('Deckblatt-Cover sheet'!$C$5="German",IF(ISERROR(VLOOKUP(F35,'Katalog-Catalogue'!$A$77:$J$173,6,FALSE)),"",VLOOKUP(F35,'Katalog-Catalogue'!$A$77:$J$173,6,FALSE)),IF('Deckblatt-Cover sheet'!$C$5="English",IF(ISERROR(VLOOKUP(F35,'Katalog-Catalogue'!$A$77:$J$173,8,FALSE)),"",VLOOKUP(F35,'Katalog-Catalogue'!$A$77:$J$173,8,FALSE)),IF('Deckblatt-Cover sheet'!$C$5="Chinese",IF(ISERROR(VLOOKUP(F35,'Katalog-Catalogue'!$A$77:$J$173,10,FALSE)),"",VLOOKUP(F35,'Katalog-Catalogue'!$A$77:$J$173,10,FALSE)))))</f>
        <v/>
      </c>
      <c r="U35" s="93"/>
      <c r="V35" s="93"/>
      <c r="W35" s="93"/>
      <c r="X35" s="93"/>
      <c r="Y35" s="93"/>
      <c r="Z35" s="93"/>
      <c r="AA35" s="93"/>
      <c r="AB35" s="93"/>
      <c r="AC35" s="93"/>
      <c r="AD35" s="93"/>
    </row>
    <row r="36" spans="1:30" ht="13.15">
      <c r="A36" s="96">
        <v>29</v>
      </c>
      <c r="B36" s="327" t="str">
        <f>IF('Deckblatt-Cover sheet'!$C$5="German",IF(ISERROR(VLOOKUP(F36,'Katalog-Catalogue'!$A$77:$F$173,2,FALSE)),"",S36&amp;" "&amp;VLOOKUP(F36,'Katalog-Catalogue'!$A$77:$F$173,2,FALSE)),IF('Deckblatt-Cover sheet'!$C$5="English",IF(ISERROR(VLOOKUP(F36,'Katalog-Catalogue'!A102:D198,3,FALSE)),"",S36&amp;" "&amp;VLOOKUP(F36,'Katalog-Catalogue'!$A$77:$F$173,3,FALSE)),IF('Deckblatt-Cover sheet'!$C$5="Chinese",IF(ISERROR(VLOOKUP(F36,'Katalog-Catalogue'!A102:D198,4,FALSE)),"",S36&amp;" "&amp;VLOOKUP(F36,'Katalog-Catalogue'!$A$77:$F$173,4,FALSE)))))</f>
        <v/>
      </c>
      <c r="C36" s="328"/>
      <c r="D36" s="328"/>
      <c r="E36" s="329"/>
      <c r="F36" s="97"/>
      <c r="G36" s="330"/>
      <c r="H36" s="331"/>
      <c r="I36" s="331"/>
      <c r="J36" s="331"/>
      <c r="K36" s="331"/>
      <c r="L36" s="98"/>
      <c r="M36" s="112" t="s">
        <v>5</v>
      </c>
      <c r="N36" s="99"/>
      <c r="O36" s="94">
        <f t="shared" si="0"/>
        <v>0</v>
      </c>
      <c r="P36" s="113" t="s">
        <v>5</v>
      </c>
      <c r="Q36" s="95">
        <f t="shared" si="1"/>
        <v>0</v>
      </c>
      <c r="R36" s="153"/>
      <c r="S36" s="125"/>
      <c r="T36" s="93" t="str">
        <f>IF('Deckblatt-Cover sheet'!$C$5="German",IF(ISERROR(VLOOKUP(F36,'Katalog-Catalogue'!$A$77:$J$173,6,FALSE)),"",VLOOKUP(F36,'Katalog-Catalogue'!$A$77:$J$173,6,FALSE)),IF('Deckblatt-Cover sheet'!$C$5="English",IF(ISERROR(VLOOKUP(F36,'Katalog-Catalogue'!$A$77:$J$173,8,FALSE)),"",VLOOKUP(F36,'Katalog-Catalogue'!$A$77:$J$173,8,FALSE)),IF('Deckblatt-Cover sheet'!$C$5="Chinese",IF(ISERROR(VLOOKUP(F36,'Katalog-Catalogue'!$A$77:$J$173,10,FALSE)),"",VLOOKUP(F36,'Katalog-Catalogue'!$A$77:$J$173,10,FALSE)))))</f>
        <v/>
      </c>
      <c r="U36" s="93"/>
      <c r="V36" s="93"/>
      <c r="W36" s="93"/>
      <c r="X36" s="93"/>
      <c r="Y36" s="93"/>
      <c r="Z36" s="93"/>
      <c r="AA36" s="93"/>
      <c r="AB36" s="93"/>
      <c r="AC36" s="93"/>
      <c r="AD36" s="93"/>
    </row>
    <row r="37" spans="1:30" ht="13.15">
      <c r="A37" s="100">
        <v>30</v>
      </c>
      <c r="B37" s="327" t="str">
        <f>IF('Deckblatt-Cover sheet'!$C$5="German",IF(ISERROR(VLOOKUP(F37,'Katalog-Catalogue'!$A$77:$F$173,2,FALSE)),"",S37&amp;" "&amp;VLOOKUP(F37,'Katalog-Catalogue'!$A$77:$F$173,2,FALSE)),IF('Deckblatt-Cover sheet'!$C$5="English",IF(ISERROR(VLOOKUP(F37,'Katalog-Catalogue'!A103:D199,3,FALSE)),"",S37&amp;" "&amp;VLOOKUP(F37,'Katalog-Catalogue'!$A$77:$F$173,3,FALSE)),IF('Deckblatt-Cover sheet'!$C$5="Chinese",IF(ISERROR(VLOOKUP(F37,'Katalog-Catalogue'!A103:D199,4,FALSE)),"",S37&amp;" "&amp;VLOOKUP(F37,'Katalog-Catalogue'!$A$77:$F$173,4,FALSE)))))</f>
        <v/>
      </c>
      <c r="C37" s="328"/>
      <c r="D37" s="328"/>
      <c r="E37" s="329"/>
      <c r="F37" s="97"/>
      <c r="G37" s="330"/>
      <c r="H37" s="331"/>
      <c r="I37" s="331"/>
      <c r="J37" s="331"/>
      <c r="K37" s="331"/>
      <c r="L37" s="98"/>
      <c r="M37" s="112" t="s">
        <v>5</v>
      </c>
      <c r="N37" s="99"/>
      <c r="O37" s="94">
        <f t="shared" si="0"/>
        <v>0</v>
      </c>
      <c r="P37" s="113" t="s">
        <v>5</v>
      </c>
      <c r="Q37" s="95">
        <f t="shared" si="1"/>
        <v>0</v>
      </c>
      <c r="R37" s="153"/>
      <c r="S37" s="125"/>
      <c r="T37" s="93" t="str">
        <f>IF('Deckblatt-Cover sheet'!$C$5="German",IF(ISERROR(VLOOKUP(F37,'Katalog-Catalogue'!$A$77:$J$173,6,FALSE)),"",VLOOKUP(F37,'Katalog-Catalogue'!$A$77:$J$173,6,FALSE)),IF('Deckblatt-Cover sheet'!$C$5="English",IF(ISERROR(VLOOKUP(F37,'Katalog-Catalogue'!$A$77:$J$173,8,FALSE)),"",VLOOKUP(F37,'Katalog-Catalogue'!$A$77:$J$173,8,FALSE)),IF('Deckblatt-Cover sheet'!$C$5="Chinese",IF(ISERROR(VLOOKUP(F37,'Katalog-Catalogue'!$A$77:$J$173,10,FALSE)),"",VLOOKUP(F37,'Katalog-Catalogue'!$A$77:$J$173,10,FALSE)))))</f>
        <v/>
      </c>
      <c r="U37" s="93"/>
      <c r="V37" s="93"/>
      <c r="W37" s="93"/>
      <c r="X37" s="93"/>
      <c r="Y37" s="93"/>
      <c r="Z37" s="93"/>
      <c r="AA37" s="93"/>
      <c r="AB37" s="93"/>
      <c r="AC37" s="93"/>
      <c r="AD37" s="93"/>
    </row>
    <row r="38" spans="1:30" ht="13.15">
      <c r="A38" s="101"/>
      <c r="B38" s="65"/>
      <c r="C38" s="65"/>
      <c r="D38" s="65"/>
      <c r="E38" s="54"/>
      <c r="F38" s="102"/>
      <c r="G38" s="51"/>
      <c r="H38" s="51"/>
      <c r="I38" s="51"/>
      <c r="J38" s="51"/>
      <c r="K38" s="51"/>
      <c r="L38" s="103"/>
      <c r="M38" s="104"/>
      <c r="N38" s="103"/>
      <c r="O38" s="103"/>
      <c r="P38" s="104"/>
      <c r="Q38" s="103"/>
      <c r="R38" s="39"/>
      <c r="S38" s="39"/>
      <c r="T38" s="51"/>
      <c r="U38" s="51"/>
      <c r="V38" s="51"/>
      <c r="W38" s="51"/>
      <c r="X38" s="51"/>
      <c r="Y38" s="51"/>
      <c r="Z38" s="51"/>
      <c r="AA38" s="51"/>
      <c r="AB38" s="51"/>
      <c r="AC38" s="51"/>
      <c r="AD38" s="51"/>
    </row>
    <row r="39" spans="1:30" ht="13.9">
      <c r="A39" s="105"/>
      <c r="B39" s="105"/>
      <c r="W39" s="51"/>
      <c r="X39" s="51"/>
      <c r="Y39" s="51"/>
      <c r="Z39" s="51"/>
      <c r="AA39" s="51"/>
      <c r="AB39" s="51"/>
      <c r="AC39" s="51"/>
      <c r="AD39" s="51"/>
    </row>
    <row r="40" spans="1:30" ht="13.15">
      <c r="A40" s="132" t="str">
        <f>HLOOKUP('Deckblatt-Cover sheet'!C5,'Katalog-Catalogue'!$B$2:$D$75,65,FALSE)</f>
        <v>Remarks</v>
      </c>
    </row>
  </sheetData>
  <mergeCells count="87">
    <mergeCell ref="A1:I2"/>
    <mergeCell ref="A3:F3"/>
    <mergeCell ref="G3:K3"/>
    <mergeCell ref="L3:O3"/>
    <mergeCell ref="P3:R3"/>
    <mergeCell ref="L4:N4"/>
    <mergeCell ref="O4:Q4"/>
    <mergeCell ref="A5:B5"/>
    <mergeCell ref="C5:E5"/>
    <mergeCell ref="F5:G5"/>
    <mergeCell ref="H5:I5"/>
    <mergeCell ref="J5:K5"/>
    <mergeCell ref="L5:N5"/>
    <mergeCell ref="O5:Q5"/>
    <mergeCell ref="A4:B4"/>
    <mergeCell ref="C4:E4"/>
    <mergeCell ref="F4:G4"/>
    <mergeCell ref="H4:I4"/>
    <mergeCell ref="J4:K4"/>
    <mergeCell ref="A6:A7"/>
    <mergeCell ref="B6:E7"/>
    <mergeCell ref="F6:F7"/>
    <mergeCell ref="G6:K6"/>
    <mergeCell ref="L6:N6"/>
    <mergeCell ref="U6:AD6"/>
    <mergeCell ref="G7:K7"/>
    <mergeCell ref="B8:E8"/>
    <mergeCell ref="G8:K8"/>
    <mergeCell ref="B9:E9"/>
    <mergeCell ref="G9:K9"/>
    <mergeCell ref="R6:R7"/>
    <mergeCell ref="B10:E10"/>
    <mergeCell ref="G10:K10"/>
    <mergeCell ref="B11:E11"/>
    <mergeCell ref="G11:K11"/>
    <mergeCell ref="B12:E12"/>
    <mergeCell ref="G12:K12"/>
    <mergeCell ref="B13:E13"/>
    <mergeCell ref="G13:K13"/>
    <mergeCell ref="B14:E14"/>
    <mergeCell ref="G14:K14"/>
    <mergeCell ref="B15:E15"/>
    <mergeCell ref="G15:K15"/>
    <mergeCell ref="B16:E16"/>
    <mergeCell ref="G16:K16"/>
    <mergeCell ref="B17:E17"/>
    <mergeCell ref="G17:K17"/>
    <mergeCell ref="B18:E18"/>
    <mergeCell ref="G18:K18"/>
    <mergeCell ref="B19:E19"/>
    <mergeCell ref="G19:K19"/>
    <mergeCell ref="B20:E20"/>
    <mergeCell ref="G20:K20"/>
    <mergeCell ref="B21:E21"/>
    <mergeCell ref="G21:K21"/>
    <mergeCell ref="B22:E22"/>
    <mergeCell ref="G22:K22"/>
    <mergeCell ref="B23:E23"/>
    <mergeCell ref="G23:K23"/>
    <mergeCell ref="B24:E24"/>
    <mergeCell ref="G24:K24"/>
    <mergeCell ref="B25:E25"/>
    <mergeCell ref="G25:K25"/>
    <mergeCell ref="B26:E26"/>
    <mergeCell ref="G26:K26"/>
    <mergeCell ref="B27:E27"/>
    <mergeCell ref="G27:K27"/>
    <mergeCell ref="B28:E28"/>
    <mergeCell ref="G28:K28"/>
    <mergeCell ref="B29:E29"/>
    <mergeCell ref="G29:K29"/>
    <mergeCell ref="B30:E30"/>
    <mergeCell ref="G30:K30"/>
    <mergeCell ref="B31:E31"/>
    <mergeCell ref="G31:K31"/>
    <mergeCell ref="B32:E32"/>
    <mergeCell ref="G32:K32"/>
    <mergeCell ref="B33:E33"/>
    <mergeCell ref="G33:K33"/>
    <mergeCell ref="B37:E37"/>
    <mergeCell ref="G37:K37"/>
    <mergeCell ref="B34:E34"/>
    <mergeCell ref="G34:K34"/>
    <mergeCell ref="B35:E35"/>
    <mergeCell ref="G35:K35"/>
    <mergeCell ref="B36:E36"/>
    <mergeCell ref="G36:K36"/>
  </mergeCells>
  <conditionalFormatting sqref="L9:L36 N9:N36">
    <cfRule type="cellIs" dxfId="35" priority="36" operator="equal">
      <formula>"x"</formula>
    </cfRule>
  </conditionalFormatting>
  <conditionalFormatting sqref="L9:L36 N9:N36">
    <cfRule type="cellIs" dxfId="34" priority="35" operator="equal">
      <formula>0</formula>
    </cfRule>
  </conditionalFormatting>
  <conditionalFormatting sqref="U9:AD36">
    <cfRule type="cellIs" dxfId="33" priority="31" operator="equal">
      <formula>"ok"</formula>
    </cfRule>
    <cfRule type="cellIs" dxfId="32" priority="32" operator="equal">
      <formula>"i.O."</formula>
    </cfRule>
    <cfRule type="cellIs" dxfId="31" priority="33" operator="greaterThan">
      <formula>$N9</formula>
    </cfRule>
    <cfRule type="cellIs" dxfId="30" priority="34" operator="lessThan">
      <formula>$L9</formula>
    </cfRule>
  </conditionalFormatting>
  <conditionalFormatting sqref="G3:K3 P3:S3">
    <cfRule type="cellIs" dxfId="29" priority="30" operator="equal">
      <formula>0</formula>
    </cfRule>
  </conditionalFormatting>
  <conditionalFormatting sqref="C4:E4 R4:S4">
    <cfRule type="cellIs" dxfId="28" priority="29" operator="equal">
      <formula>0</formula>
    </cfRule>
  </conditionalFormatting>
  <conditionalFormatting sqref="N37 L37">
    <cfRule type="cellIs" dxfId="27" priority="28" operator="equal">
      <formula>"x"</formula>
    </cfRule>
  </conditionalFormatting>
  <conditionalFormatting sqref="N37 L37">
    <cfRule type="cellIs" dxfId="26" priority="27" operator="equal">
      <formula>0</formula>
    </cfRule>
  </conditionalFormatting>
  <conditionalFormatting sqref="U37:AD37">
    <cfRule type="cellIs" dxfId="25" priority="23" operator="equal">
      <formula>"ok"</formula>
    </cfRule>
    <cfRule type="cellIs" dxfId="24" priority="24" operator="equal">
      <formula>"i.O."</formula>
    </cfRule>
    <cfRule type="cellIs" dxfId="23" priority="25" operator="greaterThan">
      <formula>$N37</formula>
    </cfRule>
    <cfRule type="cellIs" dxfId="22" priority="26" operator="lessThan">
      <formula>$L37</formula>
    </cfRule>
  </conditionalFormatting>
  <conditionalFormatting sqref="C5:E5 R5:S5">
    <cfRule type="cellIs" dxfId="21" priority="22" operator="equal">
      <formula>0</formula>
    </cfRule>
  </conditionalFormatting>
  <conditionalFormatting sqref="H5:I5">
    <cfRule type="cellIs" dxfId="20" priority="21" operator="equal">
      <formula>"00.01.1900"</formula>
    </cfRule>
  </conditionalFormatting>
  <conditionalFormatting sqref="L4">
    <cfRule type="cellIs" dxfId="19" priority="20" operator="equal">
      <formula>0</formula>
    </cfRule>
  </conditionalFormatting>
  <conditionalFormatting sqref="H4">
    <cfRule type="cellIs" dxfId="18" priority="19" operator="equal">
      <formula>0</formula>
    </cfRule>
  </conditionalFormatting>
  <conditionalFormatting sqref="L8 Q8 N8">
    <cfRule type="cellIs" dxfId="17" priority="15" operator="equal">
      <formula>"x"</formula>
    </cfRule>
  </conditionalFormatting>
  <conditionalFormatting sqref="L8 Q8 N8">
    <cfRule type="cellIs" dxfId="16" priority="14" operator="equal">
      <formula>0</formula>
    </cfRule>
  </conditionalFormatting>
  <conditionalFormatting sqref="U8:AD8">
    <cfRule type="cellIs" dxfId="15" priority="10" operator="equal">
      <formula>"ok"</formula>
    </cfRule>
    <cfRule type="cellIs" dxfId="14" priority="11" operator="equal">
      <formula>"i.O."</formula>
    </cfRule>
    <cfRule type="cellIs" dxfId="13" priority="12" operator="greaterThan">
      <formula>$N8</formula>
    </cfRule>
    <cfRule type="cellIs" dxfId="12" priority="13" operator="lessThan">
      <formula>$L8</formula>
    </cfRule>
  </conditionalFormatting>
  <conditionalFormatting sqref="O8">
    <cfRule type="cellIs" dxfId="11" priority="6" operator="equal">
      <formula>"x"</formula>
    </cfRule>
  </conditionalFormatting>
  <conditionalFormatting sqref="O8">
    <cfRule type="cellIs" dxfId="10" priority="5" operator="equal">
      <formula>0</formula>
    </cfRule>
  </conditionalFormatting>
  <conditionalFormatting sqref="O9:O37">
    <cfRule type="cellIs" dxfId="9" priority="4" operator="equal">
      <formula>"x"</formula>
    </cfRule>
  </conditionalFormatting>
  <conditionalFormatting sqref="O9:O37">
    <cfRule type="cellIs" dxfId="8" priority="3" operator="equal">
      <formula>0</formula>
    </cfRule>
  </conditionalFormatting>
  <conditionalFormatting sqref="Q9:Q37">
    <cfRule type="cellIs" dxfId="7" priority="2" operator="equal">
      <formula>"x"</formula>
    </cfRule>
  </conditionalFormatting>
  <conditionalFormatting sqref="Q9:Q37">
    <cfRule type="cellIs" dxfId="6" priority="1" operator="equal">
      <formula>0</formula>
    </cfRule>
  </conditionalFormatting>
  <pageMargins left="0.70866141732283472" right="0.70866141732283472" top="0.78740157480314965" bottom="0.78740157480314965" header="0.31496062992125984" footer="0.31496062992125984"/>
  <pageSetup paperSize="9" scale="85" orientation="landscape" verticalDpi="598" r:id="rId1"/>
  <colBreaks count="1" manualBreakCount="1">
    <brk id="19"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6" operator="equal" id="{405F9FEA-B943-41CF-85FC-02E7F66CB7D0}">
            <xm:f>'Katalog-Catalogue'!$G$27</xm:f>
            <x14:dxf>
              <font>
                <b/>
                <i val="0"/>
                <color rgb="FF66FF33"/>
              </font>
            </x14:dxf>
          </x14:cfRule>
          <x14:cfRule type="cellIs" priority="17" operator="equal" id="{71F1AD26-4FC8-404E-BE36-3D47BAEC8A2C}">
            <xm:f>'Katalog-Catalogue'!$G$22</xm:f>
            <x14:dxf>
              <font>
                <b/>
                <i val="0"/>
                <color rgb="FF66FF33"/>
              </font>
            </x14:dxf>
          </x14:cfRule>
          <x14:cfRule type="cellIs" priority="18" operator="equal" id="{3A556731-AEA6-4802-B284-9A47F6706903}">
            <xm:f>'Katalog-Catalogue'!$G$17</xm:f>
            <x14:dxf>
              <font>
                <b/>
                <i val="0"/>
                <color rgb="FF66FF33"/>
              </font>
            </x14:dxf>
          </x14:cfRule>
          <xm:sqref>R9:R37</xm:sqref>
        </x14:conditionalFormatting>
        <x14:conditionalFormatting xmlns:xm="http://schemas.microsoft.com/office/excel/2006/main">
          <x14:cfRule type="cellIs" priority="7" operator="equal" id="{6E78DACD-CF67-4AC2-8A5F-30ED214E9F5C}">
            <xm:f>'Katalog-Catalogue'!$G$27</xm:f>
            <x14:dxf>
              <font>
                <b/>
                <i val="0"/>
                <color rgb="FF66FF33"/>
              </font>
            </x14:dxf>
          </x14:cfRule>
          <x14:cfRule type="cellIs" priority="8" operator="equal" id="{2A663F1C-3DFB-487A-9F2D-62E448123FD3}">
            <xm:f>'Katalog-Catalogue'!$G$22</xm:f>
            <x14:dxf>
              <font>
                <b/>
                <i val="0"/>
                <color rgb="FF66FF33"/>
              </font>
            </x14:dxf>
          </x14:cfRule>
          <x14:cfRule type="cellIs" priority="9" operator="equal" id="{9F572502-6F2F-4A29-94CA-28B8B50CB441}">
            <xm:f>'Katalog-Catalogue'!$G$17</xm:f>
            <x14:dxf>
              <font>
                <b/>
                <i val="0"/>
                <color rgb="FF66FF33"/>
              </font>
            </x14:dxf>
          </x14:cfRule>
          <xm:sqref>R8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BC8FD2D-AA06-4D5E-A2C7-A3D31EF7EEE1}">
          <x14:formula1>
            <xm:f>'Katalog-Catalogue'!$G$17:$G$31</xm:f>
          </x14:formula1>
          <xm:sqref>R8:R37</xm:sqref>
        </x14:dataValidation>
        <x14:dataValidation type="list" allowBlank="1" showInputMessage="1" showErrorMessage="1" xr:uid="{8E5BEE3D-9B23-41C7-AAB9-D0BCEA253DF2}">
          <x14:formula1>
            <xm:f>'Katalog-Catalogue'!$A$77:$A$173</xm:f>
          </x14:formula1>
          <xm:sqref>F8:F37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09EFF-39A5-449F-8DF7-B670D3D7ADF9}">
  <dimension ref="A1:F2"/>
  <sheetViews>
    <sheetView zoomScaleNormal="100" workbookViewId="0">
      <selection activeCell="D14" sqref="D14"/>
    </sheetView>
  </sheetViews>
  <sheetFormatPr baseColWidth="10" defaultColWidth="11.3984375" defaultRowHeight="12.75"/>
  <sheetData>
    <row r="1" spans="1:6">
      <c r="A1" s="345" t="str">
        <f>HLOOKUP('Deckblatt-Cover sheet'!C5,'Katalog-Catalogue'!$A$2:$D$75,68,FALSE)</f>
        <v xml:space="preserve">Templates for the correct labeling of the drawing </v>
      </c>
      <c r="B1" s="345"/>
      <c r="C1" s="345"/>
      <c r="D1" s="345"/>
      <c r="E1" s="345"/>
      <c r="F1" s="345"/>
    </row>
    <row r="2" spans="1:6">
      <c r="A2" s="345" t="str">
        <f>HLOOKUP('Deckblatt-Cover sheet'!C5,'Katalog-Catalogue'!$A$2:$D$75,69,FALSE)</f>
        <v xml:space="preserve"> --&gt; see also in the file "fiwe-Work-instruction-Initial-sample-test-report-en"</v>
      </c>
      <c r="B2" s="345"/>
      <c r="C2" s="345"/>
      <c r="D2" s="345"/>
      <c r="E2" s="345"/>
      <c r="F2" s="345"/>
    </row>
  </sheetData>
  <mergeCells count="2">
    <mergeCell ref="A1:F1"/>
    <mergeCell ref="A2:F2"/>
  </mergeCells>
  <phoneticPr fontId="33" type="noConversion"/>
  <pageMargins left="0.7" right="0.7" top="0.78740157499999996" bottom="0.78740157499999996" header="0.3" footer="0.3"/>
  <pageSetup paperSize="9" orientation="portrait" verticalDpi="598"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776B-0B70-4A96-971F-9843D691EA85}">
  <dimension ref="A1"/>
  <sheetViews>
    <sheetView workbookViewId="0">
      <selection activeCell="O28" sqref="O28"/>
    </sheetView>
  </sheetViews>
  <sheetFormatPr baseColWidth="10" defaultColWidth="11.3984375" defaultRowHeight="12.75"/>
  <sheetData>
    <row r="1" spans="1:1">
      <c r="A1" t="s">
        <v>6</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4C3EC-7695-45B0-9DD4-27525BC7E68C}">
  <dimension ref="A1:Q305"/>
  <sheetViews>
    <sheetView workbookViewId="0">
      <selection activeCell="B163" sqref="B163"/>
    </sheetView>
  </sheetViews>
  <sheetFormatPr baseColWidth="10" defaultColWidth="11.3984375" defaultRowHeight="12.75"/>
  <cols>
    <col min="2" max="2" width="35.86328125" bestFit="1" customWidth="1"/>
    <col min="3" max="3" width="36.73046875" bestFit="1" customWidth="1"/>
    <col min="4" max="4" width="18.265625" bestFit="1" customWidth="1"/>
    <col min="5" max="5" width="2.3984375" customWidth="1"/>
    <col min="6" max="6" width="9.3984375" customWidth="1"/>
    <col min="7" max="7" width="31.86328125" customWidth="1"/>
    <col min="8" max="8" width="10.86328125" customWidth="1"/>
    <col min="9" max="9" width="35.3984375" customWidth="1"/>
    <col min="10" max="10" width="10.3984375" customWidth="1"/>
    <col min="11" max="11" width="22.1328125" customWidth="1"/>
    <col min="13" max="13" width="29.265625" bestFit="1" customWidth="1"/>
    <col min="15" max="15" width="13.1328125" bestFit="1" customWidth="1"/>
  </cols>
  <sheetData>
    <row r="1" spans="1:17" ht="14.25" thickBot="1">
      <c r="A1" s="34"/>
      <c r="B1" s="346" t="s">
        <v>7</v>
      </c>
      <c r="C1" s="346"/>
      <c r="D1" s="35"/>
      <c r="E1" s="36"/>
      <c r="F1" s="36"/>
      <c r="G1" s="36"/>
      <c r="H1" s="36"/>
      <c r="I1" s="36"/>
      <c r="J1" s="35"/>
      <c r="K1" s="35"/>
      <c r="M1" s="34"/>
      <c r="N1" s="34"/>
      <c r="O1" s="38"/>
    </row>
    <row r="2" spans="1:17" ht="18.75" customHeight="1" thickBot="1">
      <c r="A2" s="34"/>
      <c r="B2" s="137" t="s">
        <v>0</v>
      </c>
      <c r="C2" s="137" t="s">
        <v>8</v>
      </c>
      <c r="D2" s="137" t="s">
        <v>9</v>
      </c>
      <c r="E2" s="39"/>
      <c r="F2" s="152" t="s">
        <v>10</v>
      </c>
      <c r="G2" s="149" t="s">
        <v>11</v>
      </c>
      <c r="H2" s="354" t="s">
        <v>12</v>
      </c>
      <c r="I2" s="348"/>
      <c r="J2" s="347" t="s">
        <v>13</v>
      </c>
      <c r="K2" s="348"/>
      <c r="M2" s="34"/>
      <c r="N2" s="34"/>
      <c r="O2" s="38"/>
    </row>
    <row r="3" spans="1:17" ht="18" customHeight="1">
      <c r="A3" s="41">
        <v>2</v>
      </c>
      <c r="B3" s="41" t="s">
        <v>14</v>
      </c>
      <c r="C3" s="41" t="s">
        <v>15</v>
      </c>
      <c r="D3" s="133" t="s">
        <v>16</v>
      </c>
      <c r="E3" s="39"/>
      <c r="F3" s="150" t="s">
        <v>17</v>
      </c>
      <c r="G3" s="43" t="s">
        <v>18</v>
      </c>
      <c r="H3" s="355" t="s">
        <v>19</v>
      </c>
      <c r="I3" s="356"/>
      <c r="J3" s="349" t="s">
        <v>20</v>
      </c>
      <c r="K3" s="350"/>
      <c r="M3" s="34"/>
      <c r="N3" s="41"/>
      <c r="O3" s="38"/>
    </row>
    <row r="4" spans="1:17" ht="14.65" thickBot="1">
      <c r="A4" s="41">
        <v>3</v>
      </c>
      <c r="B4" s="41" t="s">
        <v>21</v>
      </c>
      <c r="C4" s="41" t="s">
        <v>22</v>
      </c>
      <c r="D4" s="133" t="s">
        <v>23</v>
      </c>
      <c r="E4" s="39"/>
      <c r="F4" s="151" t="s">
        <v>24</v>
      </c>
      <c r="G4" s="44" t="s">
        <v>25</v>
      </c>
      <c r="H4" s="357" t="s">
        <v>26</v>
      </c>
      <c r="I4" s="358"/>
      <c r="J4" s="351" t="s">
        <v>27</v>
      </c>
      <c r="K4" s="352"/>
      <c r="M4" s="34"/>
      <c r="N4" s="41"/>
      <c r="O4" s="38"/>
    </row>
    <row r="5" spans="1:17" ht="18" thickBot="1">
      <c r="A5" s="41">
        <v>4</v>
      </c>
      <c r="B5" s="41" t="s">
        <v>28</v>
      </c>
      <c r="C5" s="41" t="s">
        <v>29</v>
      </c>
      <c r="D5" s="134" t="s">
        <v>30</v>
      </c>
      <c r="E5" s="47"/>
      <c r="F5" s="34"/>
      <c r="G5" s="47"/>
      <c r="H5" s="47"/>
      <c r="I5" s="47"/>
      <c r="J5" s="38"/>
      <c r="K5" s="45"/>
      <c r="M5" s="40" t="s">
        <v>31</v>
      </c>
      <c r="N5" s="41"/>
      <c r="O5" s="38"/>
    </row>
    <row r="6" spans="1:17" ht="17.649999999999999" thickBot="1">
      <c r="A6" s="41">
        <v>5</v>
      </c>
      <c r="B6" s="48" t="s">
        <v>32</v>
      </c>
      <c r="C6" s="48" t="s">
        <v>33</v>
      </c>
      <c r="D6" s="135" t="s">
        <v>34</v>
      </c>
      <c r="E6" s="34"/>
      <c r="F6" s="49"/>
      <c r="G6" s="40" t="s">
        <v>35</v>
      </c>
      <c r="H6" s="53"/>
      <c r="I6" s="47"/>
      <c r="J6" s="38"/>
      <c r="K6" s="50"/>
      <c r="M6" s="47" t="s">
        <v>36</v>
      </c>
      <c r="N6" s="41"/>
      <c r="O6" s="38"/>
    </row>
    <row r="7" spans="1:17" ht="17.649999999999999">
      <c r="A7" s="41">
        <v>6</v>
      </c>
      <c r="B7" s="34" t="s">
        <v>37</v>
      </c>
      <c r="C7" s="34" t="s">
        <v>37</v>
      </c>
      <c r="D7" s="134" t="s">
        <v>38</v>
      </c>
      <c r="E7" s="51"/>
      <c r="F7" s="47"/>
      <c r="G7" s="53" t="s">
        <v>39</v>
      </c>
      <c r="H7" s="53"/>
      <c r="I7" s="47"/>
      <c r="J7" s="46"/>
      <c r="K7" s="45"/>
      <c r="M7" s="47" t="s">
        <v>40</v>
      </c>
      <c r="N7" s="41"/>
      <c r="O7" s="38"/>
    </row>
    <row r="8" spans="1:17" ht="13.9">
      <c r="A8" s="41">
        <v>7</v>
      </c>
      <c r="B8" s="34" t="s">
        <v>41</v>
      </c>
      <c r="C8" s="34" t="s">
        <v>42</v>
      </c>
      <c r="D8" s="135" t="s">
        <v>43</v>
      </c>
      <c r="E8" s="52"/>
      <c r="F8" s="53"/>
      <c r="G8" s="53"/>
      <c r="H8" s="53"/>
      <c r="I8" s="47"/>
      <c r="J8" s="38"/>
      <c r="K8" s="41"/>
      <c r="M8" s="47" t="s">
        <v>44</v>
      </c>
      <c r="N8" s="41"/>
      <c r="O8" s="38"/>
      <c r="Q8" t="s">
        <v>45</v>
      </c>
    </row>
    <row r="9" spans="1:17" ht="13.5">
      <c r="A9" s="41">
        <v>8</v>
      </c>
      <c r="B9" s="34" t="s">
        <v>46</v>
      </c>
      <c r="C9" s="34" t="s">
        <v>47</v>
      </c>
      <c r="D9" s="134" t="s">
        <v>48</v>
      </c>
      <c r="E9" s="41"/>
      <c r="F9" s="47"/>
      <c r="G9" s="47"/>
      <c r="H9" s="47"/>
      <c r="I9" s="47"/>
      <c r="J9" s="38"/>
      <c r="K9" s="46"/>
      <c r="M9" s="47" t="s">
        <v>49</v>
      </c>
      <c r="N9" s="41"/>
      <c r="O9" s="38"/>
    </row>
    <row r="10" spans="1:17" ht="13.9">
      <c r="A10" s="41">
        <v>9</v>
      </c>
      <c r="B10" s="34" t="s">
        <v>50</v>
      </c>
      <c r="C10" s="34" t="s">
        <v>51</v>
      </c>
      <c r="D10" s="135" t="s">
        <v>52</v>
      </c>
      <c r="E10" s="41"/>
      <c r="F10" s="47"/>
      <c r="G10" s="47"/>
      <c r="H10" s="47"/>
      <c r="I10" s="47"/>
      <c r="J10" s="46"/>
      <c r="K10" s="46"/>
      <c r="M10" s="47" t="s">
        <v>53</v>
      </c>
      <c r="N10" s="46"/>
      <c r="O10" s="46"/>
    </row>
    <row r="11" spans="1:17" ht="13.9">
      <c r="A11" s="41">
        <v>10</v>
      </c>
      <c r="B11" s="34" t="s">
        <v>54</v>
      </c>
      <c r="C11" s="34" t="s">
        <v>55</v>
      </c>
      <c r="D11" s="135" t="s">
        <v>56</v>
      </c>
      <c r="E11" s="41"/>
      <c r="F11" s="47"/>
      <c r="G11" s="47"/>
      <c r="H11" s="47"/>
      <c r="I11" s="47"/>
      <c r="J11" s="46"/>
      <c r="K11" s="46"/>
      <c r="M11" s="47" t="s">
        <v>57</v>
      </c>
      <c r="N11" s="46"/>
      <c r="O11" s="46"/>
    </row>
    <row r="12" spans="1:17" ht="13.5">
      <c r="A12" s="41">
        <v>11</v>
      </c>
      <c r="B12" s="34" t="s">
        <v>58</v>
      </c>
      <c r="C12" s="34" t="s">
        <v>59</v>
      </c>
      <c r="D12" s="136" t="s">
        <v>60</v>
      </c>
      <c r="E12" s="49"/>
      <c r="F12" s="41"/>
      <c r="G12" s="47"/>
      <c r="H12" s="47"/>
      <c r="I12" s="47"/>
      <c r="J12" s="46"/>
      <c r="K12" s="46"/>
      <c r="M12" s="47" t="s">
        <v>61</v>
      </c>
      <c r="N12" s="142"/>
      <c r="O12" s="46"/>
    </row>
    <row r="13" spans="1:17" ht="13.9">
      <c r="A13" s="41">
        <v>12</v>
      </c>
      <c r="B13" s="34" t="s">
        <v>62</v>
      </c>
      <c r="C13" s="34" t="s">
        <v>63</v>
      </c>
      <c r="D13" s="136" t="s">
        <v>64</v>
      </c>
      <c r="E13" s="49"/>
      <c r="F13" s="41"/>
      <c r="G13" s="47"/>
      <c r="H13" s="47"/>
      <c r="I13" s="47"/>
      <c r="J13" s="46"/>
      <c r="K13" s="41"/>
      <c r="M13" s="47" t="s">
        <v>65</v>
      </c>
      <c r="N13" s="143"/>
      <c r="O13" s="46"/>
    </row>
    <row r="14" spans="1:17" ht="13.9">
      <c r="A14" s="41">
        <v>13</v>
      </c>
      <c r="B14" s="34" t="s">
        <v>66</v>
      </c>
      <c r="C14" s="34" t="s">
        <v>67</v>
      </c>
      <c r="D14" s="135" t="s">
        <v>16</v>
      </c>
      <c r="E14" s="56"/>
      <c r="F14" s="41"/>
      <c r="G14" s="41"/>
      <c r="H14" s="41"/>
      <c r="I14" s="41"/>
      <c r="J14" s="41"/>
      <c r="K14" s="41"/>
      <c r="M14" s="47" t="s">
        <v>68</v>
      </c>
      <c r="N14" s="143"/>
      <c r="O14" s="46"/>
    </row>
    <row r="15" spans="1:17" ht="13.5">
      <c r="A15" s="41">
        <v>14</v>
      </c>
      <c r="B15" s="34" t="s">
        <v>69</v>
      </c>
      <c r="C15" s="34" t="s">
        <v>70</v>
      </c>
      <c r="D15" s="136" t="s">
        <v>71</v>
      </c>
      <c r="E15" s="49"/>
      <c r="F15" s="41"/>
      <c r="G15" s="41"/>
      <c r="H15" s="41"/>
      <c r="I15" s="41"/>
      <c r="J15" s="41"/>
      <c r="K15" s="41"/>
      <c r="M15" s="41"/>
      <c r="N15" s="41"/>
      <c r="O15" s="46"/>
    </row>
    <row r="16" spans="1:17" ht="14.25" thickBot="1">
      <c r="A16" s="41">
        <v>15</v>
      </c>
      <c r="B16" s="34" t="s">
        <v>72</v>
      </c>
      <c r="C16" s="34" t="s">
        <v>73</v>
      </c>
      <c r="D16" s="134" t="s">
        <v>74</v>
      </c>
      <c r="E16" s="53"/>
      <c r="F16" s="41"/>
      <c r="G16" s="40" t="s">
        <v>75</v>
      </c>
      <c r="H16" s="41"/>
      <c r="I16" s="41"/>
      <c r="J16" s="41"/>
      <c r="K16" s="41"/>
      <c r="M16" s="40" t="s">
        <v>76</v>
      </c>
      <c r="N16" s="41"/>
      <c r="O16" s="46"/>
    </row>
    <row r="17" spans="1:15" ht="13.5">
      <c r="A17" s="41">
        <v>16</v>
      </c>
      <c r="B17" s="34" t="s">
        <v>77</v>
      </c>
      <c r="C17" s="34" t="s">
        <v>78</v>
      </c>
      <c r="D17" s="134" t="s">
        <v>79</v>
      </c>
      <c r="E17" s="53"/>
      <c r="F17" s="41"/>
      <c r="G17" s="53" t="s">
        <v>80</v>
      </c>
      <c r="H17" s="41"/>
      <c r="I17" s="41"/>
      <c r="J17" s="41"/>
      <c r="K17" s="41"/>
      <c r="M17" s="128" t="s">
        <v>81</v>
      </c>
      <c r="N17" s="41"/>
      <c r="O17" s="46"/>
    </row>
    <row r="18" spans="1:15" ht="13.5">
      <c r="A18" s="41">
        <v>17</v>
      </c>
      <c r="B18" s="34" t="s">
        <v>82</v>
      </c>
      <c r="C18" s="34" t="s">
        <v>83</v>
      </c>
      <c r="D18" s="134" t="s">
        <v>84</v>
      </c>
      <c r="E18" s="53"/>
      <c r="F18" s="41"/>
      <c r="G18" s="53" t="s">
        <v>85</v>
      </c>
      <c r="H18" s="41"/>
      <c r="I18" s="41"/>
      <c r="J18" s="41"/>
      <c r="K18" s="41"/>
      <c r="M18" s="129" t="s">
        <v>86</v>
      </c>
      <c r="N18" s="41"/>
      <c r="O18" s="41"/>
    </row>
    <row r="19" spans="1:15" ht="13.5">
      <c r="A19" s="41">
        <v>18</v>
      </c>
      <c r="B19" s="34" t="s">
        <v>87</v>
      </c>
      <c r="C19" s="34" t="s">
        <v>88</v>
      </c>
      <c r="D19" s="134" t="s">
        <v>89</v>
      </c>
      <c r="E19" s="53"/>
      <c r="F19" s="41"/>
      <c r="G19" s="53" t="s">
        <v>90</v>
      </c>
      <c r="H19" s="41"/>
      <c r="I19" s="41"/>
      <c r="J19" s="41"/>
      <c r="K19" s="41"/>
      <c r="M19" s="129" t="s">
        <v>91</v>
      </c>
      <c r="N19" s="130"/>
      <c r="O19" s="55"/>
    </row>
    <row r="20" spans="1:15" ht="13.5">
      <c r="A20" s="41">
        <v>19</v>
      </c>
      <c r="B20" s="34" t="s">
        <v>92</v>
      </c>
      <c r="C20" s="34" t="s">
        <v>93</v>
      </c>
      <c r="D20" s="134" t="s">
        <v>94</v>
      </c>
      <c r="E20" s="53"/>
      <c r="F20" s="41"/>
      <c r="G20" s="53" t="s">
        <v>95</v>
      </c>
      <c r="H20" s="41"/>
      <c r="I20" s="41"/>
      <c r="J20" s="41"/>
      <c r="K20" s="41"/>
      <c r="M20" s="129" t="s">
        <v>96</v>
      </c>
      <c r="N20" s="130"/>
      <c r="O20" s="41"/>
    </row>
    <row r="21" spans="1:15" ht="13.9">
      <c r="A21" s="41">
        <v>20</v>
      </c>
      <c r="B21" s="34" t="s">
        <v>97</v>
      </c>
      <c r="C21" s="34" t="s">
        <v>98</v>
      </c>
      <c r="D21" s="135" t="s">
        <v>99</v>
      </c>
      <c r="E21" s="53"/>
      <c r="F21" s="41"/>
      <c r="G21" s="53" t="s">
        <v>100</v>
      </c>
      <c r="H21" s="41"/>
      <c r="I21" s="41"/>
      <c r="J21" s="41"/>
      <c r="K21" s="41"/>
      <c r="M21" s="129" t="s">
        <v>101</v>
      </c>
      <c r="N21" s="130"/>
      <c r="O21" s="41"/>
    </row>
    <row r="22" spans="1:15" ht="13.9">
      <c r="A22" s="41">
        <v>21</v>
      </c>
      <c r="B22" s="34" t="s">
        <v>102</v>
      </c>
      <c r="C22" s="34" t="s">
        <v>103</v>
      </c>
      <c r="D22" s="135" t="s">
        <v>104</v>
      </c>
      <c r="E22" s="53"/>
      <c r="F22" s="41"/>
      <c r="G22" s="53" t="s">
        <v>105</v>
      </c>
      <c r="H22" s="41"/>
      <c r="I22" s="41"/>
      <c r="J22" s="41"/>
      <c r="K22" s="41"/>
      <c r="M22" s="129" t="s">
        <v>106</v>
      </c>
      <c r="N22" s="130"/>
      <c r="O22" s="55"/>
    </row>
    <row r="23" spans="1:15" ht="13.9">
      <c r="A23" s="41">
        <v>22</v>
      </c>
      <c r="B23" s="34" t="s">
        <v>107</v>
      </c>
      <c r="C23" s="34" t="s">
        <v>108</v>
      </c>
      <c r="D23" s="135" t="s">
        <v>109</v>
      </c>
      <c r="E23" s="53"/>
      <c r="F23" s="41"/>
      <c r="G23" s="53" t="s">
        <v>110</v>
      </c>
      <c r="H23" s="41"/>
      <c r="I23" s="41"/>
      <c r="J23" s="41"/>
      <c r="K23" s="41"/>
      <c r="M23" s="129" t="s">
        <v>111</v>
      </c>
      <c r="N23" s="130"/>
      <c r="O23" s="55"/>
    </row>
    <row r="24" spans="1:15" ht="13.9">
      <c r="A24" s="41">
        <v>23</v>
      </c>
      <c r="B24" s="34" t="s">
        <v>112</v>
      </c>
      <c r="C24" s="34" t="s">
        <v>113</v>
      </c>
      <c r="D24" s="135" t="s">
        <v>114</v>
      </c>
      <c r="E24" s="53"/>
      <c r="F24" s="41"/>
      <c r="G24" s="53" t="s">
        <v>115</v>
      </c>
      <c r="H24" s="41"/>
      <c r="I24" s="41"/>
      <c r="J24" s="41"/>
      <c r="K24" s="41"/>
      <c r="M24" s="129" t="s">
        <v>116</v>
      </c>
      <c r="N24" s="130"/>
      <c r="O24" s="55"/>
    </row>
    <row r="25" spans="1:15" ht="13.5">
      <c r="A25" s="41">
        <v>24</v>
      </c>
      <c r="B25" s="51" t="s">
        <v>117</v>
      </c>
      <c r="C25" s="34" t="s">
        <v>118</v>
      </c>
      <c r="D25" s="134" t="s">
        <v>119</v>
      </c>
      <c r="E25" s="53"/>
      <c r="F25" s="41"/>
      <c r="G25" s="53" t="s">
        <v>120</v>
      </c>
      <c r="H25" s="41"/>
      <c r="I25" s="41"/>
      <c r="J25" s="41"/>
      <c r="K25" s="41"/>
      <c r="M25" s="129" t="s">
        <v>121</v>
      </c>
      <c r="N25" s="41"/>
      <c r="O25" s="41"/>
    </row>
    <row r="26" spans="1:15" ht="13.5">
      <c r="A26" s="41">
        <v>25</v>
      </c>
      <c r="B26" s="34" t="s">
        <v>122</v>
      </c>
      <c r="C26" s="34" t="s">
        <v>123</v>
      </c>
      <c r="D26" s="134" t="s">
        <v>124</v>
      </c>
      <c r="E26" s="53"/>
      <c r="F26" s="41"/>
      <c r="G26" s="53" t="s">
        <v>125</v>
      </c>
      <c r="H26" s="41"/>
      <c r="I26" s="41"/>
      <c r="J26" s="41"/>
      <c r="K26" s="41"/>
      <c r="M26" s="129" t="s">
        <v>126</v>
      </c>
      <c r="N26" s="41"/>
      <c r="O26" s="41"/>
    </row>
    <row r="27" spans="1:15" ht="13.9">
      <c r="A27" s="41">
        <v>26</v>
      </c>
      <c r="B27" s="34" t="s">
        <v>127</v>
      </c>
      <c r="C27" s="34" t="s">
        <v>127</v>
      </c>
      <c r="D27" s="47" t="s">
        <v>128</v>
      </c>
      <c r="E27" s="53"/>
      <c r="F27" s="41"/>
      <c r="G27" s="135" t="s">
        <v>129</v>
      </c>
      <c r="H27" s="41"/>
      <c r="I27" s="41"/>
      <c r="J27" s="41"/>
      <c r="K27" s="41"/>
      <c r="M27" s="129" t="s">
        <v>130</v>
      </c>
    </row>
    <row r="28" spans="1:15" ht="13.9">
      <c r="A28" s="41">
        <v>27</v>
      </c>
      <c r="B28" s="34" t="s">
        <v>131</v>
      </c>
      <c r="C28" s="34" t="s">
        <v>132</v>
      </c>
      <c r="D28" s="134" t="s">
        <v>133</v>
      </c>
      <c r="E28" s="53"/>
      <c r="F28" s="41"/>
      <c r="G28" s="135" t="s">
        <v>134</v>
      </c>
      <c r="H28" s="41"/>
      <c r="I28" s="41"/>
      <c r="J28" s="41"/>
      <c r="K28" s="41"/>
      <c r="M28" s="129" t="s">
        <v>135</v>
      </c>
    </row>
    <row r="29" spans="1:15" ht="13.9">
      <c r="A29" s="41">
        <v>28</v>
      </c>
      <c r="B29" s="34" t="s">
        <v>136</v>
      </c>
      <c r="C29" s="34" t="s">
        <v>137</v>
      </c>
      <c r="D29" s="134" t="s">
        <v>138</v>
      </c>
      <c r="E29" s="53"/>
      <c r="F29" s="41"/>
      <c r="G29" s="135" t="s">
        <v>139</v>
      </c>
      <c r="H29" s="41"/>
      <c r="I29" s="41"/>
      <c r="J29" s="41"/>
      <c r="K29" s="41"/>
      <c r="M29" s="129" t="s">
        <v>140</v>
      </c>
    </row>
    <row r="30" spans="1:15" ht="13.9">
      <c r="A30" s="41">
        <v>29</v>
      </c>
      <c r="B30" s="34" t="s">
        <v>141</v>
      </c>
      <c r="C30" s="34" t="s">
        <v>142</v>
      </c>
      <c r="D30" s="134" t="s">
        <v>143</v>
      </c>
      <c r="E30" s="47"/>
      <c r="F30" s="41"/>
      <c r="G30" s="135" t="s">
        <v>144</v>
      </c>
      <c r="H30" s="41"/>
      <c r="I30" s="41"/>
      <c r="J30" s="41"/>
      <c r="K30" s="41"/>
      <c r="M30" s="129" t="s">
        <v>145</v>
      </c>
    </row>
    <row r="31" spans="1:15" ht="13.9">
      <c r="A31" s="41">
        <v>30</v>
      </c>
      <c r="B31" s="34" t="s">
        <v>146</v>
      </c>
      <c r="C31" s="34" t="s">
        <v>147</v>
      </c>
      <c r="D31" s="134" t="s">
        <v>148</v>
      </c>
      <c r="E31" s="47"/>
      <c r="F31" s="41"/>
      <c r="G31" s="135" t="s">
        <v>149</v>
      </c>
      <c r="H31" s="41"/>
      <c r="I31" s="41"/>
      <c r="J31" s="41"/>
      <c r="K31" s="41"/>
      <c r="M31" s="129" t="s">
        <v>150</v>
      </c>
    </row>
    <row r="32" spans="1:15" ht="13.5">
      <c r="A32" s="41">
        <v>31</v>
      </c>
      <c r="B32" s="34" t="s">
        <v>151</v>
      </c>
      <c r="C32" s="34" t="s">
        <v>152</v>
      </c>
      <c r="D32" s="134" t="s">
        <v>153</v>
      </c>
      <c r="E32" s="47"/>
      <c r="F32" s="41"/>
      <c r="G32" s="41"/>
      <c r="H32" s="41"/>
      <c r="I32" s="41"/>
      <c r="J32" s="41"/>
      <c r="K32" s="41"/>
      <c r="M32" s="129" t="s">
        <v>154</v>
      </c>
    </row>
    <row r="33" spans="1:13" ht="14.25" thickBot="1">
      <c r="A33" s="41">
        <v>32</v>
      </c>
      <c r="B33" s="34" t="s">
        <v>155</v>
      </c>
      <c r="C33" s="34" t="s">
        <v>156</v>
      </c>
      <c r="D33" s="134" t="s">
        <v>157</v>
      </c>
      <c r="E33" s="47"/>
      <c r="F33" s="40" t="s">
        <v>158</v>
      </c>
      <c r="G33" s="40" t="s">
        <v>159</v>
      </c>
      <c r="H33" s="40" t="s">
        <v>160</v>
      </c>
      <c r="I33" s="40" t="s">
        <v>161</v>
      </c>
      <c r="J33" s="137" t="s">
        <v>160</v>
      </c>
      <c r="K33" s="37" t="s">
        <v>162</v>
      </c>
      <c r="M33" s="129" t="s">
        <v>163</v>
      </c>
    </row>
    <row r="34" spans="1:13" ht="13.9">
      <c r="A34" s="41">
        <v>33</v>
      </c>
      <c r="B34" s="34" t="s">
        <v>164</v>
      </c>
      <c r="C34" s="34" t="s">
        <v>165</v>
      </c>
      <c r="D34" s="134" t="s">
        <v>166</v>
      </c>
      <c r="E34" s="47"/>
      <c r="F34" s="57" t="s">
        <v>167</v>
      </c>
      <c r="G34" s="58" t="s">
        <v>168</v>
      </c>
      <c r="H34" s="59" t="s">
        <v>169</v>
      </c>
      <c r="I34" s="58" t="s">
        <v>170</v>
      </c>
      <c r="J34" s="59" t="s">
        <v>169</v>
      </c>
      <c r="K34" s="154" t="s">
        <v>171</v>
      </c>
      <c r="M34" s="129" t="s">
        <v>172</v>
      </c>
    </row>
    <row r="35" spans="1:13" ht="13.9">
      <c r="A35" s="41">
        <v>34</v>
      </c>
      <c r="B35" s="34" t="s">
        <v>173</v>
      </c>
      <c r="C35" s="34" t="s">
        <v>174</v>
      </c>
      <c r="D35" s="134" t="s">
        <v>175</v>
      </c>
      <c r="E35" s="47"/>
      <c r="F35" s="60" t="s">
        <v>176</v>
      </c>
      <c r="G35" s="61" t="s">
        <v>177</v>
      </c>
      <c r="H35" s="62" t="s">
        <v>178</v>
      </c>
      <c r="I35" s="63" t="s">
        <v>179</v>
      </c>
      <c r="J35" s="62" t="s">
        <v>178</v>
      </c>
      <c r="K35" s="155" t="s">
        <v>180</v>
      </c>
      <c r="M35" s="129" t="s">
        <v>181</v>
      </c>
    </row>
    <row r="36" spans="1:13" ht="13.9">
      <c r="A36" s="41">
        <v>35</v>
      </c>
      <c r="B36" s="34" t="s">
        <v>11</v>
      </c>
      <c r="C36" s="34" t="s">
        <v>12</v>
      </c>
      <c r="D36" s="148" t="s">
        <v>182</v>
      </c>
      <c r="E36" s="47"/>
      <c r="F36" s="64" t="s">
        <v>183</v>
      </c>
      <c r="G36" s="34" t="s">
        <v>184</v>
      </c>
      <c r="H36" s="53" t="s">
        <v>185</v>
      </c>
      <c r="I36" s="41" t="s">
        <v>186</v>
      </c>
      <c r="J36" s="53" t="s">
        <v>185</v>
      </c>
      <c r="K36" s="156" t="s">
        <v>187</v>
      </c>
      <c r="M36" s="129" t="s">
        <v>188</v>
      </c>
    </row>
    <row r="37" spans="1:13" ht="13.9">
      <c r="A37" s="41">
        <v>36</v>
      </c>
      <c r="B37" s="34" t="s">
        <v>189</v>
      </c>
      <c r="C37" s="34" t="s">
        <v>190</v>
      </c>
      <c r="D37" s="134" t="s">
        <v>191</v>
      </c>
      <c r="E37" s="47"/>
      <c r="F37" s="64" t="s">
        <v>192</v>
      </c>
      <c r="G37" s="34" t="s">
        <v>193</v>
      </c>
      <c r="H37" s="53" t="s">
        <v>194</v>
      </c>
      <c r="I37" s="41" t="s">
        <v>195</v>
      </c>
      <c r="J37" s="53" t="s">
        <v>194</v>
      </c>
      <c r="K37" s="155" t="s">
        <v>196</v>
      </c>
      <c r="M37" s="129" t="s">
        <v>197</v>
      </c>
    </row>
    <row r="38" spans="1:13" ht="13.9">
      <c r="A38" s="41">
        <v>37</v>
      </c>
      <c r="B38" s="34" t="s">
        <v>198</v>
      </c>
      <c r="C38" s="34" t="s">
        <v>199</v>
      </c>
      <c r="D38" s="135" t="s">
        <v>200</v>
      </c>
      <c r="E38" s="41"/>
      <c r="F38" s="64" t="s">
        <v>201</v>
      </c>
      <c r="G38" s="34" t="s">
        <v>202</v>
      </c>
      <c r="H38" s="53" t="s">
        <v>203</v>
      </c>
      <c r="I38" s="41" t="s">
        <v>204</v>
      </c>
      <c r="J38" s="53" t="s">
        <v>203</v>
      </c>
      <c r="K38" s="155" t="s">
        <v>205</v>
      </c>
      <c r="M38" s="129" t="s">
        <v>206</v>
      </c>
    </row>
    <row r="39" spans="1:13" ht="13.9">
      <c r="A39" s="41">
        <v>38</v>
      </c>
      <c r="B39" s="34" t="s">
        <v>207</v>
      </c>
      <c r="C39" s="34" t="s">
        <v>208</v>
      </c>
      <c r="D39" s="135" t="s">
        <v>209</v>
      </c>
      <c r="E39" s="41"/>
      <c r="F39" s="64" t="s">
        <v>210</v>
      </c>
      <c r="G39" s="34" t="s">
        <v>211</v>
      </c>
      <c r="H39" s="53" t="s">
        <v>212</v>
      </c>
      <c r="I39" s="41" t="s">
        <v>213</v>
      </c>
      <c r="J39" s="53" t="s">
        <v>212</v>
      </c>
      <c r="K39" s="155" t="s">
        <v>214</v>
      </c>
      <c r="M39" s="129" t="s">
        <v>215</v>
      </c>
    </row>
    <row r="40" spans="1:13" ht="13.9">
      <c r="A40" s="41">
        <v>39</v>
      </c>
      <c r="B40" s="34" t="s">
        <v>216</v>
      </c>
      <c r="C40" s="34" t="s">
        <v>217</v>
      </c>
      <c r="D40" s="135" t="s">
        <v>218</v>
      </c>
      <c r="E40" s="53"/>
      <c r="F40" s="64" t="s">
        <v>219</v>
      </c>
      <c r="G40" s="34" t="s">
        <v>220</v>
      </c>
      <c r="H40" s="53" t="s">
        <v>221</v>
      </c>
      <c r="I40" s="41" t="s">
        <v>222</v>
      </c>
      <c r="J40" s="53" t="s">
        <v>221</v>
      </c>
      <c r="K40" s="155" t="s">
        <v>223</v>
      </c>
      <c r="M40" s="129" t="s">
        <v>224</v>
      </c>
    </row>
    <row r="41" spans="1:13" ht="13.9">
      <c r="A41" s="41">
        <v>40</v>
      </c>
      <c r="B41" s="41" t="s">
        <v>225</v>
      </c>
      <c r="C41" s="41" t="s">
        <v>226</v>
      </c>
      <c r="D41" s="135" t="s">
        <v>227</v>
      </c>
      <c r="E41" s="53" t="s">
        <v>4</v>
      </c>
      <c r="F41" s="64" t="s">
        <v>228</v>
      </c>
      <c r="G41" s="34" t="s">
        <v>229</v>
      </c>
      <c r="H41" s="53" t="s">
        <v>230</v>
      </c>
      <c r="I41" s="41" t="s">
        <v>231</v>
      </c>
      <c r="J41" s="53" t="s">
        <v>230</v>
      </c>
      <c r="K41" s="155" t="s">
        <v>232</v>
      </c>
      <c r="M41" s="129" t="s">
        <v>233</v>
      </c>
    </row>
    <row r="42" spans="1:13" ht="13.9">
      <c r="A42" s="41">
        <v>41</v>
      </c>
      <c r="B42" s="34" t="s">
        <v>234</v>
      </c>
      <c r="C42" s="41" t="s">
        <v>235</v>
      </c>
      <c r="D42" s="135" t="s">
        <v>236</v>
      </c>
      <c r="E42" s="53"/>
      <c r="F42" s="64" t="s">
        <v>237</v>
      </c>
      <c r="G42" s="34" t="s">
        <v>238</v>
      </c>
      <c r="H42" s="53" t="s">
        <v>239</v>
      </c>
      <c r="I42" s="41" t="s">
        <v>240</v>
      </c>
      <c r="J42" s="53" t="s">
        <v>239</v>
      </c>
      <c r="K42" s="155" t="s">
        <v>241</v>
      </c>
      <c r="M42" s="129" t="s">
        <v>242</v>
      </c>
    </row>
    <row r="43" spans="1:13" ht="14.25" thickBot="1">
      <c r="A43" s="41">
        <v>42</v>
      </c>
      <c r="B43" s="34" t="s">
        <v>243</v>
      </c>
      <c r="C43" s="34" t="s">
        <v>243</v>
      </c>
      <c r="D43" s="135" t="s">
        <v>244</v>
      </c>
      <c r="E43" s="53"/>
      <c r="F43" s="64" t="s">
        <v>245</v>
      </c>
      <c r="G43" s="34" t="s">
        <v>246</v>
      </c>
      <c r="H43" s="53" t="s">
        <v>247</v>
      </c>
      <c r="I43" s="41" t="s">
        <v>248</v>
      </c>
      <c r="J43" s="53" t="s">
        <v>247</v>
      </c>
      <c r="K43" s="155" t="s">
        <v>249</v>
      </c>
      <c r="M43" s="131" t="s">
        <v>250</v>
      </c>
    </row>
    <row r="44" spans="1:13" ht="13.9">
      <c r="A44" s="41">
        <v>43</v>
      </c>
      <c r="B44" s="34" t="s">
        <v>251</v>
      </c>
      <c r="C44" s="34" t="s">
        <v>161</v>
      </c>
      <c r="D44" s="135" t="s">
        <v>252</v>
      </c>
      <c r="E44" s="53"/>
      <c r="F44" s="64" t="s">
        <v>253</v>
      </c>
      <c r="G44" s="34" t="s">
        <v>254</v>
      </c>
      <c r="H44" s="53" t="s">
        <v>253</v>
      </c>
      <c r="I44" s="41" t="s">
        <v>255</v>
      </c>
      <c r="J44" s="53" t="s">
        <v>253</v>
      </c>
      <c r="K44" s="155" t="s">
        <v>256</v>
      </c>
    </row>
    <row r="45" spans="1:13" ht="13.9">
      <c r="A45" s="41">
        <v>44</v>
      </c>
      <c r="B45" s="34" t="s">
        <v>257</v>
      </c>
      <c r="C45" s="34" t="s">
        <v>258</v>
      </c>
      <c r="D45" s="135" t="s">
        <v>259</v>
      </c>
      <c r="E45" s="53"/>
      <c r="F45" s="64" t="s">
        <v>260</v>
      </c>
      <c r="G45" s="34" t="s">
        <v>261</v>
      </c>
      <c r="H45" s="53" t="s">
        <v>262</v>
      </c>
      <c r="I45" s="41" t="s">
        <v>263</v>
      </c>
      <c r="J45" s="53" t="s">
        <v>262</v>
      </c>
      <c r="K45" s="155" t="s">
        <v>264</v>
      </c>
    </row>
    <row r="46" spans="1:13" ht="13.9">
      <c r="A46" s="41">
        <v>45</v>
      </c>
      <c r="B46" s="34" t="s">
        <v>265</v>
      </c>
      <c r="C46" s="34" t="s">
        <v>266</v>
      </c>
      <c r="D46" s="135" t="s">
        <v>267</v>
      </c>
      <c r="E46" s="34"/>
      <c r="F46" s="64" t="s">
        <v>268</v>
      </c>
      <c r="G46" s="34" t="s">
        <v>269</v>
      </c>
      <c r="H46" s="53" t="s">
        <v>270</v>
      </c>
      <c r="I46" s="41" t="s">
        <v>271</v>
      </c>
      <c r="J46" s="53" t="s">
        <v>270</v>
      </c>
      <c r="K46" s="155" t="s">
        <v>272</v>
      </c>
    </row>
    <row r="47" spans="1:13" ht="13.9">
      <c r="A47" s="41">
        <v>46</v>
      </c>
      <c r="B47" s="34" t="s">
        <v>273</v>
      </c>
      <c r="C47" s="34" t="s">
        <v>274</v>
      </c>
      <c r="D47" s="135" t="s">
        <v>275</v>
      </c>
      <c r="E47" s="34"/>
      <c r="F47" s="64" t="s">
        <v>276</v>
      </c>
      <c r="G47" s="34" t="s">
        <v>277</v>
      </c>
      <c r="H47" s="53" t="s">
        <v>278</v>
      </c>
      <c r="I47" s="41" t="s">
        <v>279</v>
      </c>
      <c r="J47" s="53" t="s">
        <v>278</v>
      </c>
      <c r="K47" s="155" t="s">
        <v>280</v>
      </c>
    </row>
    <row r="48" spans="1:13" ht="13.9">
      <c r="A48" s="41">
        <v>47</v>
      </c>
      <c r="B48" s="34" t="s">
        <v>281</v>
      </c>
      <c r="C48" s="34" t="s">
        <v>282</v>
      </c>
      <c r="D48" s="135" t="s">
        <v>283</v>
      </c>
      <c r="E48" s="34"/>
      <c r="F48" s="64" t="s">
        <v>284</v>
      </c>
      <c r="G48" s="34" t="s">
        <v>285</v>
      </c>
      <c r="H48" s="53" t="s">
        <v>286</v>
      </c>
      <c r="I48" s="41" t="s">
        <v>287</v>
      </c>
      <c r="J48" s="53" t="s">
        <v>286</v>
      </c>
      <c r="K48" s="155" t="s">
        <v>288</v>
      </c>
    </row>
    <row r="49" spans="1:11" ht="13.9">
      <c r="A49" s="41">
        <v>48</v>
      </c>
      <c r="B49" s="34" t="s">
        <v>289</v>
      </c>
      <c r="C49" s="34" t="s">
        <v>290</v>
      </c>
      <c r="D49" s="135" t="s">
        <v>291</v>
      </c>
      <c r="E49" s="34"/>
      <c r="F49" s="64" t="s">
        <v>292</v>
      </c>
      <c r="G49" s="34" t="s">
        <v>293</v>
      </c>
      <c r="H49" s="53" t="s">
        <v>294</v>
      </c>
      <c r="I49" s="41" t="s">
        <v>295</v>
      </c>
      <c r="J49" s="53" t="s">
        <v>294</v>
      </c>
      <c r="K49" s="155" t="s">
        <v>296</v>
      </c>
    </row>
    <row r="50" spans="1:11" ht="13.9">
      <c r="A50" s="41">
        <v>49</v>
      </c>
      <c r="B50" s="34" t="s">
        <v>297</v>
      </c>
      <c r="C50" s="34" t="s">
        <v>298</v>
      </c>
      <c r="D50" s="135" t="s">
        <v>299</v>
      </c>
      <c r="E50" s="34"/>
      <c r="F50" s="64" t="s">
        <v>300</v>
      </c>
      <c r="G50" s="34" t="s">
        <v>301</v>
      </c>
      <c r="H50" s="53" t="s">
        <v>302</v>
      </c>
      <c r="I50" s="41" t="s">
        <v>303</v>
      </c>
      <c r="J50" s="53" t="s">
        <v>302</v>
      </c>
      <c r="K50" s="155" t="s">
        <v>304</v>
      </c>
    </row>
    <row r="51" spans="1:11" ht="13.9">
      <c r="A51" s="41">
        <v>50</v>
      </c>
      <c r="B51" s="34" t="s">
        <v>305</v>
      </c>
      <c r="C51" s="34" t="s">
        <v>306</v>
      </c>
      <c r="D51" s="135" t="s">
        <v>307</v>
      </c>
      <c r="E51" s="53"/>
      <c r="F51" s="64" t="s">
        <v>308</v>
      </c>
      <c r="G51" s="34" t="s">
        <v>309</v>
      </c>
      <c r="H51" s="53" t="s">
        <v>308</v>
      </c>
      <c r="I51" s="41" t="s">
        <v>310</v>
      </c>
      <c r="J51" s="53" t="s">
        <v>308</v>
      </c>
      <c r="K51" s="155" t="s">
        <v>311</v>
      </c>
    </row>
    <row r="52" spans="1:11" ht="13.9">
      <c r="A52" s="41">
        <v>51</v>
      </c>
      <c r="B52" s="34" t="s">
        <v>312</v>
      </c>
      <c r="C52" s="34" t="s">
        <v>313</v>
      </c>
      <c r="D52" s="135" t="s">
        <v>314</v>
      </c>
      <c r="E52" s="53"/>
      <c r="F52" s="64" t="s">
        <v>315</v>
      </c>
      <c r="G52" s="34" t="s">
        <v>316</v>
      </c>
      <c r="H52" s="53" t="s">
        <v>317</v>
      </c>
      <c r="I52" s="41" t="s">
        <v>318</v>
      </c>
      <c r="J52" s="53" t="s">
        <v>317</v>
      </c>
      <c r="K52" s="155" t="s">
        <v>319</v>
      </c>
    </row>
    <row r="53" spans="1:11" ht="13.9">
      <c r="A53" s="41">
        <v>52</v>
      </c>
      <c r="B53" s="34" t="s">
        <v>320</v>
      </c>
      <c r="C53" s="34" t="s">
        <v>321</v>
      </c>
      <c r="D53" s="135" t="s">
        <v>322</v>
      </c>
      <c r="E53" s="34"/>
      <c r="F53" s="64" t="s">
        <v>323</v>
      </c>
      <c r="G53" s="34" t="s">
        <v>324</v>
      </c>
      <c r="H53" s="53" t="s">
        <v>325</v>
      </c>
      <c r="I53" s="41" t="s">
        <v>326</v>
      </c>
      <c r="J53" s="53" t="s">
        <v>325</v>
      </c>
      <c r="K53" s="155" t="s">
        <v>327</v>
      </c>
    </row>
    <row r="54" spans="1:11" ht="13.9">
      <c r="A54" s="41">
        <v>53</v>
      </c>
      <c r="B54" s="34" t="s">
        <v>328</v>
      </c>
      <c r="C54" s="34" t="s">
        <v>329</v>
      </c>
      <c r="D54" s="135" t="s">
        <v>330</v>
      </c>
      <c r="E54" s="53"/>
      <c r="F54" s="60" t="s">
        <v>331</v>
      </c>
      <c r="G54" s="61" t="s">
        <v>332</v>
      </c>
      <c r="H54" s="62" t="s">
        <v>333</v>
      </c>
      <c r="I54" s="63" t="s">
        <v>334</v>
      </c>
      <c r="J54" s="62" t="s">
        <v>333</v>
      </c>
      <c r="K54" s="156" t="s">
        <v>335</v>
      </c>
    </row>
    <row r="55" spans="1:11" ht="13.9">
      <c r="A55" s="41">
        <v>54</v>
      </c>
      <c r="B55" s="34" t="s">
        <v>336</v>
      </c>
      <c r="C55" s="34" t="s">
        <v>337</v>
      </c>
      <c r="D55" s="135" t="s">
        <v>338</v>
      </c>
      <c r="E55" s="53"/>
      <c r="F55" s="64" t="s">
        <v>339</v>
      </c>
      <c r="G55" s="34" t="s">
        <v>340</v>
      </c>
      <c r="H55" s="53" t="s">
        <v>341</v>
      </c>
      <c r="I55" s="41" t="s">
        <v>342</v>
      </c>
      <c r="J55" s="53" t="s">
        <v>341</v>
      </c>
      <c r="K55" s="155" t="s">
        <v>343</v>
      </c>
    </row>
    <row r="56" spans="1:11" ht="13.9">
      <c r="A56" s="41">
        <v>55</v>
      </c>
      <c r="B56" s="34" t="s">
        <v>344</v>
      </c>
      <c r="C56" s="34" t="s">
        <v>344</v>
      </c>
      <c r="D56" s="135" t="s">
        <v>345</v>
      </c>
      <c r="E56" s="53"/>
      <c r="F56" s="64" t="s">
        <v>346</v>
      </c>
      <c r="G56" s="34" t="s">
        <v>347</v>
      </c>
      <c r="H56" s="53" t="s">
        <v>346</v>
      </c>
      <c r="I56" s="41" t="s">
        <v>348</v>
      </c>
      <c r="J56" s="53" t="s">
        <v>346</v>
      </c>
      <c r="K56" s="155" t="s">
        <v>349</v>
      </c>
    </row>
    <row r="57" spans="1:11" ht="13.9">
      <c r="A57" s="41">
        <v>56</v>
      </c>
      <c r="B57" s="34" t="s">
        <v>350</v>
      </c>
      <c r="C57" s="34" t="s">
        <v>351</v>
      </c>
      <c r="D57" s="135" t="s">
        <v>352</v>
      </c>
      <c r="E57" s="53"/>
      <c r="F57" s="64" t="s">
        <v>353</v>
      </c>
      <c r="G57" s="34" t="s">
        <v>354</v>
      </c>
      <c r="H57" s="53" t="s">
        <v>355</v>
      </c>
      <c r="I57" s="41" t="s">
        <v>356</v>
      </c>
      <c r="J57" s="53" t="s">
        <v>355</v>
      </c>
      <c r="K57" s="155" t="s">
        <v>357</v>
      </c>
    </row>
    <row r="58" spans="1:11" ht="13.9">
      <c r="A58" s="41">
        <v>57</v>
      </c>
      <c r="B58" s="34" t="s">
        <v>358</v>
      </c>
      <c r="C58" s="34" t="s">
        <v>359</v>
      </c>
      <c r="D58" s="135" t="s">
        <v>360</v>
      </c>
      <c r="E58" s="53"/>
      <c r="F58" s="64" t="s">
        <v>361</v>
      </c>
      <c r="G58" s="34" t="s">
        <v>362</v>
      </c>
      <c r="H58" s="53" t="s">
        <v>363</v>
      </c>
      <c r="I58" s="41" t="s">
        <v>364</v>
      </c>
      <c r="J58" s="53" t="s">
        <v>363</v>
      </c>
      <c r="K58" s="155" t="s">
        <v>365</v>
      </c>
    </row>
    <row r="59" spans="1:11" ht="13.9">
      <c r="A59" s="41">
        <v>58</v>
      </c>
      <c r="B59" s="34" t="s">
        <v>366</v>
      </c>
      <c r="C59" s="34" t="s">
        <v>367</v>
      </c>
      <c r="D59" s="135" t="s">
        <v>368</v>
      </c>
      <c r="E59" s="53"/>
      <c r="F59" s="64" t="s">
        <v>369</v>
      </c>
      <c r="G59" s="34" t="s">
        <v>370</v>
      </c>
      <c r="H59" s="53" t="s">
        <v>371</v>
      </c>
      <c r="I59" s="41" t="s">
        <v>372</v>
      </c>
      <c r="J59" s="53" t="s">
        <v>371</v>
      </c>
      <c r="K59" s="155" t="s">
        <v>373</v>
      </c>
    </row>
    <row r="60" spans="1:11" ht="13.9">
      <c r="A60" s="41">
        <v>59</v>
      </c>
      <c r="B60" s="34" t="s">
        <v>374</v>
      </c>
      <c r="C60" s="34" t="s">
        <v>375</v>
      </c>
      <c r="D60" s="135" t="s">
        <v>376</v>
      </c>
      <c r="E60" s="53"/>
      <c r="F60" s="64" t="s">
        <v>377</v>
      </c>
      <c r="G60" s="34" t="s">
        <v>378</v>
      </c>
      <c r="H60" s="53" t="s">
        <v>379</v>
      </c>
      <c r="I60" s="41" t="s">
        <v>380</v>
      </c>
      <c r="J60" s="53" t="s">
        <v>379</v>
      </c>
      <c r="K60" s="155" t="s">
        <v>381</v>
      </c>
    </row>
    <row r="61" spans="1:11" ht="13.9">
      <c r="A61" s="41">
        <v>60</v>
      </c>
      <c r="B61" s="34" t="s">
        <v>382</v>
      </c>
      <c r="C61" s="34" t="s">
        <v>383</v>
      </c>
      <c r="D61" s="135" t="s">
        <v>384</v>
      </c>
      <c r="E61" s="53"/>
      <c r="F61" s="64" t="s">
        <v>385</v>
      </c>
      <c r="G61" s="34" t="s">
        <v>386</v>
      </c>
      <c r="H61" s="53" t="s">
        <v>387</v>
      </c>
      <c r="I61" s="41" t="s">
        <v>388</v>
      </c>
      <c r="J61" s="53" t="s">
        <v>387</v>
      </c>
      <c r="K61" s="155" t="s">
        <v>389</v>
      </c>
    </row>
    <row r="62" spans="1:11" ht="13.9">
      <c r="A62" s="41">
        <v>61</v>
      </c>
      <c r="B62" s="34" t="s">
        <v>390</v>
      </c>
      <c r="C62" s="34" t="s">
        <v>391</v>
      </c>
      <c r="D62" s="135" t="s">
        <v>392</v>
      </c>
      <c r="E62" s="53"/>
      <c r="F62" s="67" t="s">
        <v>393</v>
      </c>
      <c r="G62" s="68"/>
      <c r="H62" s="68"/>
      <c r="I62" s="69"/>
      <c r="J62" s="157"/>
      <c r="K62" s="70"/>
    </row>
    <row r="63" spans="1:11" ht="14.25" thickBot="1">
      <c r="A63" s="41">
        <v>62</v>
      </c>
      <c r="B63" s="34" t="s">
        <v>394</v>
      </c>
      <c r="C63" s="34" t="s">
        <v>395</v>
      </c>
      <c r="D63" s="135" t="s">
        <v>396</v>
      </c>
      <c r="E63" s="53"/>
      <c r="F63" s="71" t="s">
        <v>393</v>
      </c>
      <c r="G63" s="72"/>
      <c r="H63" s="72"/>
      <c r="I63" s="73"/>
      <c r="J63" s="158"/>
      <c r="K63" s="74"/>
    </row>
    <row r="64" spans="1:11" ht="13.9">
      <c r="A64" s="41">
        <v>63</v>
      </c>
      <c r="B64" s="34" t="s">
        <v>397</v>
      </c>
      <c r="C64" s="34" t="s">
        <v>398</v>
      </c>
      <c r="D64" s="135" t="s">
        <v>399</v>
      </c>
      <c r="E64" s="53"/>
      <c r="F64" s="53"/>
      <c r="G64" s="53"/>
      <c r="H64" s="53"/>
      <c r="I64" s="34"/>
      <c r="J64" s="34"/>
      <c r="K64" s="34"/>
    </row>
    <row r="65" spans="1:12" ht="13.9">
      <c r="A65" s="41">
        <v>64</v>
      </c>
      <c r="B65" s="34" t="s">
        <v>400</v>
      </c>
      <c r="C65" s="34" t="s">
        <v>401</v>
      </c>
      <c r="D65" s="135" t="s">
        <v>402</v>
      </c>
      <c r="E65" s="53"/>
      <c r="F65" s="42" t="s">
        <v>403</v>
      </c>
      <c r="G65" s="53"/>
      <c r="H65" s="53"/>
      <c r="I65" s="34"/>
      <c r="J65" s="34"/>
      <c r="K65" s="41"/>
    </row>
    <row r="66" spans="1:12" ht="13.9">
      <c r="A66" s="41">
        <v>65</v>
      </c>
      <c r="B66" s="34" t="s">
        <v>404</v>
      </c>
      <c r="C66" s="34" t="s">
        <v>405</v>
      </c>
      <c r="D66" s="135" t="s">
        <v>406</v>
      </c>
      <c r="E66" s="53"/>
      <c r="F66" s="75" t="s">
        <v>407</v>
      </c>
      <c r="G66" s="53"/>
      <c r="H66" s="53"/>
      <c r="I66" s="34"/>
      <c r="J66" s="34"/>
      <c r="K66" s="41"/>
    </row>
    <row r="67" spans="1:12" ht="13.9">
      <c r="A67" s="41">
        <v>66</v>
      </c>
      <c r="B67" s="34" t="s">
        <v>408</v>
      </c>
      <c r="C67" s="34" t="s">
        <v>409</v>
      </c>
      <c r="D67" s="135" t="s">
        <v>410</v>
      </c>
      <c r="E67" s="41"/>
      <c r="F67" s="143" t="s">
        <v>411</v>
      </c>
      <c r="G67" s="53"/>
      <c r="H67" s="53"/>
      <c r="I67" s="34"/>
      <c r="J67" s="34"/>
      <c r="K67" s="48"/>
    </row>
    <row r="68" spans="1:12" ht="13.9">
      <c r="A68" s="41">
        <v>67</v>
      </c>
      <c r="B68" s="34" t="s">
        <v>412</v>
      </c>
      <c r="C68" s="34" t="s">
        <v>413</v>
      </c>
      <c r="D68" s="135" t="s">
        <v>414</v>
      </c>
      <c r="E68" s="53"/>
      <c r="F68" s="53"/>
      <c r="G68" s="53"/>
      <c r="H68" s="53"/>
      <c r="I68" s="34"/>
      <c r="J68" s="34"/>
      <c r="K68" s="34"/>
    </row>
    <row r="69" spans="1:12" ht="13.9">
      <c r="A69" s="41">
        <v>68</v>
      </c>
      <c r="B69" s="34" t="s">
        <v>415</v>
      </c>
      <c r="C69" s="34" t="s">
        <v>416</v>
      </c>
      <c r="D69" s="135" t="s">
        <v>417</v>
      </c>
      <c r="E69" s="53"/>
      <c r="F69" s="53"/>
      <c r="G69" s="53"/>
      <c r="H69" s="53"/>
      <c r="I69" s="34"/>
      <c r="J69" s="34"/>
      <c r="K69" s="34"/>
    </row>
    <row r="70" spans="1:12" ht="13.9">
      <c r="A70" s="41">
        <v>69</v>
      </c>
      <c r="B70" s="34" t="s">
        <v>418</v>
      </c>
      <c r="C70" s="34" t="s">
        <v>419</v>
      </c>
      <c r="D70" s="135" t="s">
        <v>420</v>
      </c>
      <c r="E70" s="53"/>
      <c r="F70" s="53"/>
      <c r="G70" s="53"/>
      <c r="H70" s="53"/>
      <c r="I70" s="34"/>
      <c r="J70" s="34"/>
      <c r="K70" s="34"/>
    </row>
    <row r="71" spans="1:12" ht="13.9">
      <c r="A71" s="41">
        <v>70</v>
      </c>
      <c r="B71" s="34" t="s">
        <v>421</v>
      </c>
      <c r="C71" s="34" t="s">
        <v>422</v>
      </c>
      <c r="D71" s="135" t="s">
        <v>423</v>
      </c>
      <c r="E71" s="53"/>
      <c r="F71" s="53"/>
      <c r="G71" s="53"/>
      <c r="H71" s="53"/>
      <c r="I71" s="34"/>
      <c r="J71" s="34"/>
      <c r="K71" s="34"/>
    </row>
    <row r="72" spans="1:12" ht="13.9">
      <c r="A72" s="41">
        <v>71</v>
      </c>
      <c r="B72" s="34" t="s">
        <v>424</v>
      </c>
      <c r="C72" s="34" t="s">
        <v>425</v>
      </c>
      <c r="D72" s="135" t="s">
        <v>426</v>
      </c>
      <c r="E72" s="53"/>
      <c r="F72" s="53"/>
      <c r="G72" s="53"/>
      <c r="H72" s="53"/>
      <c r="I72" s="34"/>
      <c r="J72" s="34"/>
      <c r="K72" s="34"/>
    </row>
    <row r="73" spans="1:12" ht="13.9">
      <c r="A73" s="41">
        <v>72</v>
      </c>
      <c r="B73" s="34" t="s">
        <v>427</v>
      </c>
      <c r="C73" s="34" t="s">
        <v>428</v>
      </c>
      <c r="D73" s="135" t="s">
        <v>429</v>
      </c>
      <c r="E73" s="53"/>
      <c r="F73" s="53"/>
      <c r="G73" s="53"/>
      <c r="H73" s="53"/>
      <c r="I73" s="34"/>
      <c r="J73" s="34"/>
      <c r="K73" s="34"/>
    </row>
    <row r="74" spans="1:12" ht="13.9">
      <c r="A74" s="41">
        <v>73</v>
      </c>
      <c r="B74" s="34" t="s">
        <v>430</v>
      </c>
      <c r="C74" s="34" t="s">
        <v>430</v>
      </c>
      <c r="D74" s="135" t="s">
        <v>431</v>
      </c>
      <c r="E74" s="53"/>
      <c r="F74" s="53"/>
      <c r="G74" s="53"/>
      <c r="H74" s="53"/>
      <c r="I74" s="34"/>
      <c r="J74" s="34"/>
      <c r="K74" s="34"/>
    </row>
    <row r="75" spans="1:12" ht="13.9">
      <c r="A75" s="41">
        <v>74</v>
      </c>
      <c r="B75" s="34" t="s">
        <v>432</v>
      </c>
      <c r="C75" s="34" t="s">
        <v>432</v>
      </c>
      <c r="D75" s="135" t="s">
        <v>433</v>
      </c>
      <c r="E75" s="53"/>
      <c r="F75" s="53"/>
      <c r="G75" s="53"/>
      <c r="H75" s="53"/>
      <c r="I75" s="34"/>
      <c r="J75" s="34"/>
      <c r="K75" s="34"/>
    </row>
    <row r="76" spans="1:12" ht="14.25" thickBot="1">
      <c r="A76" s="76"/>
      <c r="B76" s="37" t="s">
        <v>0</v>
      </c>
      <c r="C76" s="37" t="s">
        <v>434</v>
      </c>
      <c r="D76" s="37" t="s">
        <v>9</v>
      </c>
      <c r="E76" s="353" t="s">
        <v>158</v>
      </c>
      <c r="F76" s="353"/>
      <c r="G76" s="40" t="s">
        <v>159</v>
      </c>
      <c r="H76" s="40" t="s">
        <v>160</v>
      </c>
      <c r="I76" s="40" t="s">
        <v>161</v>
      </c>
      <c r="J76" s="40" t="s">
        <v>160</v>
      </c>
      <c r="K76" s="40" t="s">
        <v>162</v>
      </c>
      <c r="L76" s="40" t="s">
        <v>435</v>
      </c>
    </row>
    <row r="77" spans="1:12" ht="13.9">
      <c r="A77" s="77">
        <v>1</v>
      </c>
      <c r="B77" s="34" t="s">
        <v>436</v>
      </c>
      <c r="C77" s="41" t="s">
        <v>437</v>
      </c>
      <c r="D77" s="135" t="s">
        <v>438</v>
      </c>
      <c r="E77" s="53"/>
      <c r="F77" s="53" t="s">
        <v>260</v>
      </c>
      <c r="G77" s="78" t="str">
        <f>VLOOKUP($F77,$F$34:$K$63,2,FALSE)</f>
        <v>Messschieber</v>
      </c>
      <c r="H77" s="78" t="str">
        <f>VLOOKUP($F77,$F$34:$K$63,3,FALSE)</f>
        <v>CA</v>
      </c>
      <c r="I77" s="78" t="str">
        <f>VLOOKUP($F77,$F$34:$K$63,4,FALSE)</f>
        <v>Caliper</v>
      </c>
      <c r="J77" s="53" t="str">
        <f>VLOOKUP($F77,$F$34:$K$63,5,FALSE)</f>
        <v>CA</v>
      </c>
      <c r="K77" s="53" t="str">
        <f>VLOOKUP($F77,$F$34:$K$63,6,FALSE)</f>
        <v>卡尺</v>
      </c>
      <c r="L77" s="53" t="s">
        <v>439</v>
      </c>
    </row>
    <row r="78" spans="1:12" ht="13.9">
      <c r="A78" s="77">
        <v>2</v>
      </c>
      <c r="B78" s="34" t="s">
        <v>440</v>
      </c>
      <c r="C78" s="41" t="s">
        <v>441</v>
      </c>
      <c r="D78" s="135" t="s">
        <v>442</v>
      </c>
      <c r="E78" s="53"/>
      <c r="F78" s="53" t="s">
        <v>353</v>
      </c>
      <c r="G78" s="78" t="str">
        <f>VLOOKUP($F78,$F$34:$K$63,2,FALSE)</f>
        <v>Sichtprüfung</v>
      </c>
      <c r="H78" s="78" t="str">
        <f t="shared" ref="H78:H141" si="0">VLOOKUP($F78,$F$34:$K$63,3,FALSE)</f>
        <v>VC</v>
      </c>
      <c r="I78" s="78" t="str">
        <f t="shared" ref="I78:I141" si="1">VLOOKUP($F78,$F$34:$K$63,4,FALSE)</f>
        <v>Visual check</v>
      </c>
      <c r="J78" s="53" t="str">
        <f t="shared" ref="J78:J141" si="2">VLOOKUP($F78,$F$34:$K$63,5,FALSE)</f>
        <v>VC</v>
      </c>
      <c r="K78" s="53" t="str">
        <f t="shared" ref="K78:K141" si="3">VLOOKUP($F78,$F$34:$K$63,6,FALSE)</f>
        <v>目视</v>
      </c>
      <c r="L78" s="53" t="s">
        <v>443</v>
      </c>
    </row>
    <row r="79" spans="1:12" ht="13.9">
      <c r="A79" s="77">
        <v>3</v>
      </c>
      <c r="B79" s="34" t="s">
        <v>444</v>
      </c>
      <c r="C79" s="34" t="s">
        <v>445</v>
      </c>
      <c r="D79" s="135" t="s">
        <v>446</v>
      </c>
      <c r="E79" s="53"/>
      <c r="F79" s="53" t="s">
        <v>353</v>
      </c>
      <c r="G79" s="78" t="str">
        <f t="shared" ref="G79:G142" si="4">VLOOKUP($F79,$F$34:$K$63,2,FALSE)</f>
        <v>Sichtprüfung</v>
      </c>
      <c r="H79" s="78" t="str">
        <f t="shared" si="0"/>
        <v>VC</v>
      </c>
      <c r="I79" s="78" t="str">
        <f t="shared" si="1"/>
        <v>Visual check</v>
      </c>
      <c r="J79" s="53" t="str">
        <f t="shared" si="2"/>
        <v>VC</v>
      </c>
      <c r="K79" s="53" t="str">
        <f t="shared" si="3"/>
        <v>目视</v>
      </c>
      <c r="L79" s="53" t="s">
        <v>443</v>
      </c>
    </row>
    <row r="80" spans="1:12" ht="13.9">
      <c r="A80" s="77">
        <v>4</v>
      </c>
      <c r="B80" s="34" t="s">
        <v>447</v>
      </c>
      <c r="C80" s="41" t="s">
        <v>448</v>
      </c>
      <c r="D80" s="135" t="s">
        <v>449</v>
      </c>
      <c r="E80" s="53"/>
      <c r="F80" s="53" t="s">
        <v>353</v>
      </c>
      <c r="G80" s="78" t="str">
        <f t="shared" si="4"/>
        <v>Sichtprüfung</v>
      </c>
      <c r="H80" s="78" t="str">
        <f t="shared" si="0"/>
        <v>VC</v>
      </c>
      <c r="I80" s="78" t="str">
        <f t="shared" si="1"/>
        <v>Visual check</v>
      </c>
      <c r="J80" s="53" t="str">
        <f t="shared" si="2"/>
        <v>VC</v>
      </c>
      <c r="K80" s="53" t="str">
        <f t="shared" si="3"/>
        <v>目视</v>
      </c>
      <c r="L80" s="53" t="s">
        <v>443</v>
      </c>
    </row>
    <row r="81" spans="1:12" ht="13.9">
      <c r="A81" s="77">
        <v>5</v>
      </c>
      <c r="B81" s="34" t="s">
        <v>450</v>
      </c>
      <c r="C81" s="41" t="s">
        <v>451</v>
      </c>
      <c r="D81" s="135" t="s">
        <v>452</v>
      </c>
      <c r="E81" s="53"/>
      <c r="F81" s="53" t="s">
        <v>369</v>
      </c>
      <c r="G81" s="78" t="str">
        <f t="shared" si="4"/>
        <v>Winkelmesser</v>
      </c>
      <c r="H81" s="78" t="str">
        <f t="shared" si="0"/>
        <v>AG</v>
      </c>
      <c r="I81" s="78" t="str">
        <f t="shared" si="1"/>
        <v>Angle gauge</v>
      </c>
      <c r="J81" s="53" t="str">
        <f t="shared" si="2"/>
        <v>AG</v>
      </c>
      <c r="K81" s="53" t="str">
        <f t="shared" si="3"/>
        <v>角度规</v>
      </c>
      <c r="L81" s="53" t="s">
        <v>439</v>
      </c>
    </row>
    <row r="82" spans="1:12" ht="13.9">
      <c r="A82" s="77">
        <v>6</v>
      </c>
      <c r="B82" s="34" t="s">
        <v>453</v>
      </c>
      <c r="C82" s="41" t="s">
        <v>454</v>
      </c>
      <c r="D82" s="135" t="s">
        <v>455</v>
      </c>
      <c r="E82" s="53"/>
      <c r="F82" s="53" t="s">
        <v>260</v>
      </c>
      <c r="G82" s="78" t="str">
        <f t="shared" si="4"/>
        <v>Messschieber</v>
      </c>
      <c r="H82" s="78" t="str">
        <f t="shared" si="0"/>
        <v>CA</v>
      </c>
      <c r="I82" s="78" t="str">
        <f t="shared" si="1"/>
        <v>Caliper</v>
      </c>
      <c r="J82" s="53" t="str">
        <f t="shared" si="2"/>
        <v>CA</v>
      </c>
      <c r="K82" s="53" t="str">
        <f t="shared" si="3"/>
        <v>卡尺</v>
      </c>
      <c r="L82" s="53" t="s">
        <v>439</v>
      </c>
    </row>
    <row r="83" spans="1:12" ht="13.9">
      <c r="A83" s="77">
        <v>7</v>
      </c>
      <c r="B83" s="79" t="s">
        <v>456</v>
      </c>
      <c r="C83" s="41" t="s">
        <v>457</v>
      </c>
      <c r="D83" s="135" t="s">
        <v>458</v>
      </c>
      <c r="E83" s="53"/>
      <c r="F83" s="53" t="s">
        <v>377</v>
      </c>
      <c r="G83" s="78" t="str">
        <f t="shared" si="4"/>
        <v>Zugmaschine</v>
      </c>
      <c r="H83" s="78" t="str">
        <f t="shared" si="0"/>
        <v>PM</v>
      </c>
      <c r="I83" s="78" t="str">
        <f t="shared" si="1"/>
        <v>Pulling machine</v>
      </c>
      <c r="J83" s="53" t="str">
        <f t="shared" si="2"/>
        <v>PM</v>
      </c>
      <c r="K83" s="53" t="str">
        <f t="shared" si="3"/>
        <v>拉拔仪</v>
      </c>
      <c r="L83" s="53" t="s">
        <v>439</v>
      </c>
    </row>
    <row r="84" spans="1:12" ht="13.9">
      <c r="A84" s="77">
        <v>8</v>
      </c>
      <c r="B84" s="34" t="s">
        <v>459</v>
      </c>
      <c r="C84" s="41" t="s">
        <v>460</v>
      </c>
      <c r="D84" s="135" t="s">
        <v>461</v>
      </c>
      <c r="E84" s="53"/>
      <c r="F84" s="53" t="s">
        <v>260</v>
      </c>
      <c r="G84" s="78" t="str">
        <f t="shared" si="4"/>
        <v>Messschieber</v>
      </c>
      <c r="H84" s="78" t="str">
        <f t="shared" si="0"/>
        <v>CA</v>
      </c>
      <c r="I84" s="78" t="str">
        <f t="shared" si="1"/>
        <v>Caliper</v>
      </c>
      <c r="J84" s="53" t="str">
        <f t="shared" si="2"/>
        <v>CA</v>
      </c>
      <c r="K84" s="53" t="str">
        <f t="shared" si="3"/>
        <v>卡尺</v>
      </c>
      <c r="L84" s="53" t="s">
        <v>439</v>
      </c>
    </row>
    <row r="85" spans="1:12" ht="13.9">
      <c r="A85" s="77">
        <v>9</v>
      </c>
      <c r="B85" s="34" t="s">
        <v>462</v>
      </c>
      <c r="C85" s="41" t="s">
        <v>463</v>
      </c>
      <c r="D85" s="135" t="s">
        <v>464</v>
      </c>
      <c r="E85" s="53"/>
      <c r="F85" s="53" t="s">
        <v>353</v>
      </c>
      <c r="G85" s="78" t="str">
        <f t="shared" si="4"/>
        <v>Sichtprüfung</v>
      </c>
      <c r="H85" s="78" t="str">
        <f t="shared" si="0"/>
        <v>VC</v>
      </c>
      <c r="I85" s="78" t="str">
        <f t="shared" si="1"/>
        <v>Visual check</v>
      </c>
      <c r="J85" s="53" t="str">
        <f t="shared" si="2"/>
        <v>VC</v>
      </c>
      <c r="K85" s="53" t="str">
        <f t="shared" si="3"/>
        <v>目视</v>
      </c>
      <c r="L85" s="53" t="s">
        <v>443</v>
      </c>
    </row>
    <row r="86" spans="1:12" ht="13.9">
      <c r="A86" s="77">
        <v>10</v>
      </c>
      <c r="B86" s="79" t="s">
        <v>465</v>
      </c>
      <c r="C86" s="41" t="s">
        <v>466</v>
      </c>
      <c r="D86" s="135" t="s">
        <v>467</v>
      </c>
      <c r="E86" s="53"/>
      <c r="F86" s="53" t="s">
        <v>377</v>
      </c>
      <c r="G86" s="78" t="str">
        <f t="shared" si="4"/>
        <v>Zugmaschine</v>
      </c>
      <c r="H86" s="78" t="str">
        <f t="shared" si="0"/>
        <v>PM</v>
      </c>
      <c r="I86" s="78" t="str">
        <f t="shared" si="1"/>
        <v>Pulling machine</v>
      </c>
      <c r="J86" s="53" t="str">
        <f t="shared" si="2"/>
        <v>PM</v>
      </c>
      <c r="K86" s="53" t="str">
        <f t="shared" si="3"/>
        <v>拉拔仪</v>
      </c>
      <c r="L86" s="53" t="s">
        <v>439</v>
      </c>
    </row>
    <row r="87" spans="1:12" ht="13.9">
      <c r="A87" s="77">
        <v>11</v>
      </c>
      <c r="B87" s="34" t="s">
        <v>468</v>
      </c>
      <c r="C87" s="41" t="s">
        <v>469</v>
      </c>
      <c r="D87" s="135" t="s">
        <v>470</v>
      </c>
      <c r="E87" s="53"/>
      <c r="F87" s="53" t="s">
        <v>260</v>
      </c>
      <c r="G87" s="78" t="str">
        <f t="shared" si="4"/>
        <v>Messschieber</v>
      </c>
      <c r="H87" s="78" t="str">
        <f t="shared" si="0"/>
        <v>CA</v>
      </c>
      <c r="I87" s="78" t="str">
        <f t="shared" si="1"/>
        <v>Caliper</v>
      </c>
      <c r="J87" s="53" t="str">
        <f t="shared" si="2"/>
        <v>CA</v>
      </c>
      <c r="K87" s="53" t="str">
        <f t="shared" si="3"/>
        <v>卡尺</v>
      </c>
      <c r="L87" s="53" t="s">
        <v>439</v>
      </c>
    </row>
    <row r="88" spans="1:12" ht="13.9">
      <c r="A88" s="77">
        <v>12</v>
      </c>
      <c r="B88" s="34" t="s">
        <v>471</v>
      </c>
      <c r="C88" s="41" t="s">
        <v>472</v>
      </c>
      <c r="D88" s="135" t="s">
        <v>473</v>
      </c>
      <c r="E88" s="53"/>
      <c r="F88" s="53" t="s">
        <v>260</v>
      </c>
      <c r="G88" s="78" t="str">
        <f t="shared" si="4"/>
        <v>Messschieber</v>
      </c>
      <c r="H88" s="78" t="str">
        <f t="shared" si="0"/>
        <v>CA</v>
      </c>
      <c r="I88" s="78" t="str">
        <f t="shared" si="1"/>
        <v>Caliper</v>
      </c>
      <c r="J88" s="53" t="str">
        <f t="shared" si="2"/>
        <v>CA</v>
      </c>
      <c r="K88" s="53" t="str">
        <f t="shared" si="3"/>
        <v>卡尺</v>
      </c>
      <c r="L88" s="53" t="s">
        <v>439</v>
      </c>
    </row>
    <row r="89" spans="1:12" ht="13.9">
      <c r="A89" s="77">
        <v>13</v>
      </c>
      <c r="B89" s="34" t="s">
        <v>474</v>
      </c>
      <c r="C89" s="34" t="s">
        <v>475</v>
      </c>
      <c r="D89" s="135" t="s">
        <v>476</v>
      </c>
      <c r="E89" s="53"/>
      <c r="F89" s="53" t="s">
        <v>192</v>
      </c>
      <c r="G89" s="78" t="str">
        <f t="shared" si="4"/>
        <v>Drehmomentschlüssel</v>
      </c>
      <c r="H89" s="78" t="str">
        <f t="shared" si="0"/>
        <v>TW</v>
      </c>
      <c r="I89" s="78" t="str">
        <f t="shared" si="1"/>
        <v>Torque wrench</v>
      </c>
      <c r="J89" s="53" t="str">
        <f t="shared" si="2"/>
        <v>TW</v>
      </c>
      <c r="K89" s="53" t="str">
        <f t="shared" si="3"/>
        <v>扭力扳手</v>
      </c>
      <c r="L89" s="53" t="s">
        <v>439</v>
      </c>
    </row>
    <row r="90" spans="1:12" ht="13.9">
      <c r="A90" s="77">
        <v>14</v>
      </c>
      <c r="B90" s="34" t="s">
        <v>477</v>
      </c>
      <c r="C90" s="41" t="s">
        <v>478</v>
      </c>
      <c r="D90" s="135" t="s">
        <v>479</v>
      </c>
      <c r="E90" s="53"/>
      <c r="F90" s="53" t="s">
        <v>260</v>
      </c>
      <c r="G90" s="78" t="str">
        <f t="shared" si="4"/>
        <v>Messschieber</v>
      </c>
      <c r="H90" s="78" t="str">
        <f t="shared" si="0"/>
        <v>CA</v>
      </c>
      <c r="I90" s="78" t="str">
        <f t="shared" si="1"/>
        <v>Caliper</v>
      </c>
      <c r="J90" s="53" t="str">
        <f t="shared" si="2"/>
        <v>CA</v>
      </c>
      <c r="K90" s="53" t="str">
        <f t="shared" si="3"/>
        <v>卡尺</v>
      </c>
      <c r="L90" s="53" t="s">
        <v>439</v>
      </c>
    </row>
    <row r="91" spans="1:12" ht="13.9">
      <c r="A91" s="77">
        <v>15</v>
      </c>
      <c r="B91" s="34" t="s">
        <v>480</v>
      </c>
      <c r="C91" s="41" t="s">
        <v>481</v>
      </c>
      <c r="D91" s="135" t="s">
        <v>482</v>
      </c>
      <c r="E91" s="53"/>
      <c r="F91" s="53" t="s">
        <v>260</v>
      </c>
      <c r="G91" s="78" t="str">
        <f t="shared" si="4"/>
        <v>Messschieber</v>
      </c>
      <c r="H91" s="78" t="str">
        <f t="shared" si="0"/>
        <v>CA</v>
      </c>
      <c r="I91" s="78" t="str">
        <f t="shared" si="1"/>
        <v>Caliper</v>
      </c>
      <c r="J91" s="53" t="str">
        <f t="shared" si="2"/>
        <v>CA</v>
      </c>
      <c r="K91" s="53" t="str">
        <f t="shared" si="3"/>
        <v>卡尺</v>
      </c>
      <c r="L91" s="53" t="s">
        <v>439</v>
      </c>
    </row>
    <row r="92" spans="1:12" ht="13.9">
      <c r="A92" s="77">
        <v>16</v>
      </c>
      <c r="B92" s="79" t="s">
        <v>483</v>
      </c>
      <c r="C92" s="41" t="s">
        <v>484</v>
      </c>
      <c r="D92" s="135" t="s">
        <v>485</v>
      </c>
      <c r="E92" s="53"/>
      <c r="F92" s="53" t="s">
        <v>260</v>
      </c>
      <c r="G92" s="78" t="str">
        <f t="shared" si="4"/>
        <v>Messschieber</v>
      </c>
      <c r="H92" s="78" t="str">
        <f t="shared" si="0"/>
        <v>CA</v>
      </c>
      <c r="I92" s="78" t="str">
        <f t="shared" si="1"/>
        <v>Caliper</v>
      </c>
      <c r="J92" s="53" t="str">
        <f t="shared" si="2"/>
        <v>CA</v>
      </c>
      <c r="K92" s="53" t="str">
        <f t="shared" si="3"/>
        <v>卡尺</v>
      </c>
      <c r="L92" s="53" t="s">
        <v>439</v>
      </c>
    </row>
    <row r="93" spans="1:12" ht="13.9">
      <c r="A93" s="77">
        <v>17</v>
      </c>
      <c r="B93" s="34" t="s">
        <v>486</v>
      </c>
      <c r="C93" s="41" t="s">
        <v>487</v>
      </c>
      <c r="D93" s="135" t="s">
        <v>488</v>
      </c>
      <c r="E93" s="53"/>
      <c r="F93" s="53" t="s">
        <v>260</v>
      </c>
      <c r="G93" s="78" t="str">
        <f t="shared" si="4"/>
        <v>Messschieber</v>
      </c>
      <c r="H93" s="78" t="str">
        <f t="shared" si="0"/>
        <v>CA</v>
      </c>
      <c r="I93" s="78" t="str">
        <f t="shared" si="1"/>
        <v>Caliper</v>
      </c>
      <c r="J93" s="53" t="str">
        <f t="shared" si="2"/>
        <v>CA</v>
      </c>
      <c r="K93" s="53" t="str">
        <f t="shared" si="3"/>
        <v>卡尺</v>
      </c>
      <c r="L93" s="53" t="s">
        <v>439</v>
      </c>
    </row>
    <row r="94" spans="1:12" ht="13.9">
      <c r="A94" s="77">
        <v>18</v>
      </c>
      <c r="B94" s="34" t="s">
        <v>489</v>
      </c>
      <c r="C94" s="34" t="s">
        <v>490</v>
      </c>
      <c r="D94" s="135" t="s">
        <v>491</v>
      </c>
      <c r="E94" s="135"/>
      <c r="F94" s="53" t="s">
        <v>308</v>
      </c>
      <c r="G94" s="78" t="str">
        <f t="shared" si="4"/>
        <v>Profilprojektor</v>
      </c>
      <c r="H94" s="78" t="str">
        <f t="shared" si="0"/>
        <v>PP</v>
      </c>
      <c r="I94" s="78" t="str">
        <f t="shared" si="1"/>
        <v>Profile projector</v>
      </c>
      <c r="J94" s="53" t="str">
        <f t="shared" si="2"/>
        <v>PP</v>
      </c>
      <c r="K94" s="53" t="str">
        <f t="shared" si="3"/>
        <v>投影仪</v>
      </c>
      <c r="L94" s="53" t="s">
        <v>439</v>
      </c>
    </row>
    <row r="95" spans="1:12" ht="13.9">
      <c r="A95" s="77">
        <v>19</v>
      </c>
      <c r="B95" s="34" t="s">
        <v>492</v>
      </c>
      <c r="C95" s="41" t="s">
        <v>493</v>
      </c>
      <c r="D95" s="135" t="s">
        <v>494</v>
      </c>
      <c r="E95" s="53"/>
      <c r="F95" s="53" t="s">
        <v>260</v>
      </c>
      <c r="G95" s="78" t="str">
        <f t="shared" si="4"/>
        <v>Messschieber</v>
      </c>
      <c r="H95" s="78" t="str">
        <f t="shared" si="0"/>
        <v>CA</v>
      </c>
      <c r="I95" s="78" t="str">
        <f t="shared" si="1"/>
        <v>Caliper</v>
      </c>
      <c r="J95" s="53" t="str">
        <f t="shared" si="2"/>
        <v>CA</v>
      </c>
      <c r="K95" s="53" t="str">
        <f t="shared" si="3"/>
        <v>卡尺</v>
      </c>
      <c r="L95" s="53" t="s">
        <v>439</v>
      </c>
    </row>
    <row r="96" spans="1:12" ht="13.9">
      <c r="A96" s="77">
        <v>20</v>
      </c>
      <c r="B96" s="34" t="s">
        <v>495</v>
      </c>
      <c r="C96" s="41" t="s">
        <v>496</v>
      </c>
      <c r="D96" s="53" t="s">
        <v>497</v>
      </c>
      <c r="E96" s="53"/>
      <c r="F96" s="53" t="s">
        <v>353</v>
      </c>
      <c r="G96" s="78" t="str">
        <f t="shared" si="4"/>
        <v>Sichtprüfung</v>
      </c>
      <c r="H96" s="78" t="str">
        <f t="shared" si="0"/>
        <v>VC</v>
      </c>
      <c r="I96" s="78" t="str">
        <f t="shared" si="1"/>
        <v>Visual check</v>
      </c>
      <c r="J96" s="53" t="str">
        <f t="shared" si="2"/>
        <v>VC</v>
      </c>
      <c r="K96" s="53" t="str">
        <f t="shared" si="3"/>
        <v>目视</v>
      </c>
      <c r="L96" s="53" t="s">
        <v>443</v>
      </c>
    </row>
    <row r="97" spans="1:12" ht="13.9">
      <c r="A97" s="77">
        <v>21</v>
      </c>
      <c r="B97" s="34" t="s">
        <v>498</v>
      </c>
      <c r="C97" s="41" t="s">
        <v>499</v>
      </c>
      <c r="D97" s="135" t="s">
        <v>500</v>
      </c>
      <c r="E97" s="53"/>
      <c r="F97" s="53" t="s">
        <v>183</v>
      </c>
      <c r="G97" s="78" t="str">
        <f t="shared" si="4"/>
        <v>3D-Messmakroskop</v>
      </c>
      <c r="H97" s="78" t="str">
        <f t="shared" si="0"/>
        <v>3MMA</v>
      </c>
      <c r="I97" s="78" t="str">
        <f t="shared" si="1"/>
        <v>3D-Measuring macroscope</v>
      </c>
      <c r="J97" s="53" t="str">
        <f t="shared" si="2"/>
        <v>3MMA</v>
      </c>
      <c r="K97" s="53" t="str">
        <f t="shared" si="3"/>
        <v>3D 测量显微镜</v>
      </c>
      <c r="L97" s="53" t="s">
        <v>439</v>
      </c>
    </row>
    <row r="98" spans="1:12" ht="13.9">
      <c r="A98" s="77">
        <v>22</v>
      </c>
      <c r="B98" s="79" t="s">
        <v>501</v>
      </c>
      <c r="C98" s="41" t="s">
        <v>502</v>
      </c>
      <c r="D98" s="135" t="s">
        <v>503</v>
      </c>
      <c r="E98" s="53"/>
      <c r="F98" s="53" t="s">
        <v>260</v>
      </c>
      <c r="G98" s="78" t="str">
        <f t="shared" si="4"/>
        <v>Messschieber</v>
      </c>
      <c r="H98" s="78" t="str">
        <f t="shared" si="0"/>
        <v>CA</v>
      </c>
      <c r="I98" s="78" t="str">
        <f t="shared" si="1"/>
        <v>Caliper</v>
      </c>
      <c r="J98" s="53" t="str">
        <f t="shared" si="2"/>
        <v>CA</v>
      </c>
      <c r="K98" s="53" t="str">
        <f t="shared" si="3"/>
        <v>卡尺</v>
      </c>
      <c r="L98" s="53" t="s">
        <v>439</v>
      </c>
    </row>
    <row r="99" spans="1:12" ht="13.9">
      <c r="A99" s="77">
        <v>23</v>
      </c>
      <c r="B99" s="34" t="s">
        <v>504</v>
      </c>
      <c r="C99" s="41" t="s">
        <v>505</v>
      </c>
      <c r="D99" s="135" t="s">
        <v>506</v>
      </c>
      <c r="E99" s="53"/>
      <c r="F99" s="53" t="s">
        <v>228</v>
      </c>
      <c r="G99" s="78" t="str">
        <f t="shared" si="4"/>
        <v>Härteprüfgerät</v>
      </c>
      <c r="H99" s="78" t="str">
        <f t="shared" si="0"/>
        <v>HT</v>
      </c>
      <c r="I99" s="78" t="str">
        <f t="shared" si="1"/>
        <v>Hardness tester</v>
      </c>
      <c r="J99" s="53" t="str">
        <f t="shared" si="2"/>
        <v>HT</v>
      </c>
      <c r="K99" s="53" t="str">
        <f t="shared" si="3"/>
        <v>硬度测试仪</v>
      </c>
      <c r="L99" s="53" t="s">
        <v>439</v>
      </c>
    </row>
    <row r="100" spans="1:12" ht="13.9">
      <c r="A100" s="77">
        <v>24</v>
      </c>
      <c r="B100" s="34" t="s">
        <v>507</v>
      </c>
      <c r="C100" s="41" t="s">
        <v>508</v>
      </c>
      <c r="D100" s="140" t="s">
        <v>509</v>
      </c>
      <c r="E100" s="53"/>
      <c r="F100" s="53" t="s">
        <v>353</v>
      </c>
      <c r="G100" s="78" t="str">
        <f t="shared" si="4"/>
        <v>Sichtprüfung</v>
      </c>
      <c r="H100" s="78" t="str">
        <f t="shared" si="0"/>
        <v>VC</v>
      </c>
      <c r="I100" s="78" t="str">
        <f t="shared" si="1"/>
        <v>Visual check</v>
      </c>
      <c r="J100" s="53" t="str">
        <f t="shared" si="2"/>
        <v>VC</v>
      </c>
      <c r="K100" s="53" t="str">
        <f t="shared" si="3"/>
        <v>目视</v>
      </c>
      <c r="L100" s="53" t="s">
        <v>443</v>
      </c>
    </row>
    <row r="101" spans="1:12" ht="13.9">
      <c r="A101" s="77">
        <v>25</v>
      </c>
      <c r="B101" s="34" t="s">
        <v>510</v>
      </c>
      <c r="C101" s="41" t="s">
        <v>511</v>
      </c>
      <c r="D101" s="135" t="s">
        <v>512</v>
      </c>
      <c r="E101" s="53"/>
      <c r="F101" s="53" t="s">
        <v>353</v>
      </c>
      <c r="G101" s="78" t="str">
        <f t="shared" si="4"/>
        <v>Sichtprüfung</v>
      </c>
      <c r="H101" s="78" t="str">
        <f t="shared" si="0"/>
        <v>VC</v>
      </c>
      <c r="I101" s="78" t="str">
        <f t="shared" si="1"/>
        <v>Visual check</v>
      </c>
      <c r="J101" s="53" t="str">
        <f t="shared" si="2"/>
        <v>VC</v>
      </c>
      <c r="K101" s="53" t="str">
        <f t="shared" si="3"/>
        <v>目视</v>
      </c>
      <c r="L101" s="53" t="s">
        <v>443</v>
      </c>
    </row>
    <row r="102" spans="1:12" ht="13.9">
      <c r="A102" s="77">
        <v>26</v>
      </c>
      <c r="B102" s="34" t="s">
        <v>513</v>
      </c>
      <c r="C102" s="41" t="s">
        <v>514</v>
      </c>
      <c r="D102" s="135" t="s">
        <v>515</v>
      </c>
      <c r="E102" s="53"/>
      <c r="F102" s="53" t="s">
        <v>353</v>
      </c>
      <c r="G102" s="78" t="str">
        <f t="shared" si="4"/>
        <v>Sichtprüfung</v>
      </c>
      <c r="H102" s="78" t="str">
        <f t="shared" si="0"/>
        <v>VC</v>
      </c>
      <c r="I102" s="78" t="str">
        <f t="shared" si="1"/>
        <v>Visual check</v>
      </c>
      <c r="J102" s="53" t="str">
        <f t="shared" si="2"/>
        <v>VC</v>
      </c>
      <c r="K102" s="53" t="str">
        <f t="shared" si="3"/>
        <v>目视</v>
      </c>
      <c r="L102" s="53" t="s">
        <v>443</v>
      </c>
    </row>
    <row r="103" spans="1:12" ht="13.9">
      <c r="A103" s="77">
        <v>27</v>
      </c>
      <c r="B103" s="34" t="s">
        <v>516</v>
      </c>
      <c r="C103" s="41" t="s">
        <v>517</v>
      </c>
      <c r="D103" s="135" t="s">
        <v>518</v>
      </c>
      <c r="E103" s="53"/>
      <c r="F103" s="53" t="s">
        <v>353</v>
      </c>
      <c r="G103" s="78" t="str">
        <f t="shared" si="4"/>
        <v>Sichtprüfung</v>
      </c>
      <c r="H103" s="78" t="str">
        <f t="shared" si="0"/>
        <v>VC</v>
      </c>
      <c r="I103" s="78" t="str">
        <f t="shared" si="1"/>
        <v>Visual check</v>
      </c>
      <c r="J103" s="53" t="str">
        <f t="shared" si="2"/>
        <v>VC</v>
      </c>
      <c r="K103" s="53" t="str">
        <f t="shared" si="3"/>
        <v>目视</v>
      </c>
      <c r="L103" s="53" t="s">
        <v>443</v>
      </c>
    </row>
    <row r="104" spans="1:12" ht="13.9">
      <c r="A104" s="77">
        <v>28</v>
      </c>
      <c r="B104" s="34" t="s">
        <v>519</v>
      </c>
      <c r="C104" s="41" t="s">
        <v>520</v>
      </c>
      <c r="D104" s="135" t="s">
        <v>521</v>
      </c>
      <c r="E104" s="53"/>
      <c r="F104" s="53" t="s">
        <v>353</v>
      </c>
      <c r="G104" s="78" t="str">
        <f t="shared" si="4"/>
        <v>Sichtprüfung</v>
      </c>
      <c r="H104" s="78" t="str">
        <f t="shared" si="0"/>
        <v>VC</v>
      </c>
      <c r="I104" s="78" t="str">
        <f t="shared" si="1"/>
        <v>Visual check</v>
      </c>
      <c r="J104" s="53" t="str">
        <f t="shared" si="2"/>
        <v>VC</v>
      </c>
      <c r="K104" s="53" t="str">
        <f t="shared" si="3"/>
        <v>目视</v>
      </c>
      <c r="L104" s="53" t="s">
        <v>443</v>
      </c>
    </row>
    <row r="105" spans="1:12" ht="13.9">
      <c r="A105" s="77">
        <v>29</v>
      </c>
      <c r="B105" s="34" t="s">
        <v>202</v>
      </c>
      <c r="C105" s="41" t="s">
        <v>522</v>
      </c>
      <c r="D105" s="135" t="s">
        <v>523</v>
      </c>
      <c r="E105" s="53"/>
      <c r="F105" s="53" t="s">
        <v>201</v>
      </c>
      <c r="G105" s="78" t="str">
        <f t="shared" si="4"/>
        <v>Funktionsprüfung</v>
      </c>
      <c r="H105" s="78" t="str">
        <f t="shared" si="0"/>
        <v>FC</v>
      </c>
      <c r="I105" s="78" t="str">
        <f t="shared" si="1"/>
        <v>Function check</v>
      </c>
      <c r="J105" s="53" t="str">
        <f t="shared" si="2"/>
        <v>FC</v>
      </c>
      <c r="K105" s="53" t="str">
        <f t="shared" si="3"/>
        <v>功能确认</v>
      </c>
      <c r="L105" s="53" t="s">
        <v>439</v>
      </c>
    </row>
    <row r="106" spans="1:12" ht="13.9">
      <c r="A106" s="77">
        <v>30</v>
      </c>
      <c r="B106" s="34" t="s">
        <v>524</v>
      </c>
      <c r="C106" s="34" t="s">
        <v>525</v>
      </c>
      <c r="D106" s="135" t="s">
        <v>526</v>
      </c>
      <c r="E106" s="53"/>
      <c r="F106" s="53" t="s">
        <v>253</v>
      </c>
      <c r="G106" s="78" t="str">
        <f t="shared" si="4"/>
        <v>Messmaschine</v>
      </c>
      <c r="H106" s="78" t="str">
        <f t="shared" si="0"/>
        <v>MM</v>
      </c>
      <c r="I106" s="78" t="str">
        <f t="shared" si="1"/>
        <v>Measuring machine</v>
      </c>
      <c r="J106" s="53" t="str">
        <f t="shared" si="2"/>
        <v>MM</v>
      </c>
      <c r="K106" s="53" t="str">
        <f t="shared" si="3"/>
        <v>测量仪器</v>
      </c>
      <c r="L106" s="53" t="s">
        <v>439</v>
      </c>
    </row>
    <row r="107" spans="1:12" ht="13.9">
      <c r="A107" s="77">
        <v>31</v>
      </c>
      <c r="B107" s="79" t="s">
        <v>527</v>
      </c>
      <c r="C107" s="41" t="s">
        <v>528</v>
      </c>
      <c r="D107" s="135" t="s">
        <v>529</v>
      </c>
      <c r="E107" s="53"/>
      <c r="F107" s="53" t="s">
        <v>260</v>
      </c>
      <c r="G107" s="78" t="str">
        <f t="shared" si="4"/>
        <v>Messschieber</v>
      </c>
      <c r="H107" s="78" t="str">
        <f t="shared" si="0"/>
        <v>CA</v>
      </c>
      <c r="I107" s="78" t="str">
        <f t="shared" si="1"/>
        <v>Caliper</v>
      </c>
      <c r="J107" s="53" t="str">
        <f t="shared" si="2"/>
        <v>CA</v>
      </c>
      <c r="K107" s="53" t="str">
        <f t="shared" si="3"/>
        <v>卡尺</v>
      </c>
      <c r="L107" s="53" t="s">
        <v>439</v>
      </c>
    </row>
    <row r="108" spans="1:12" ht="13.9">
      <c r="A108" s="77">
        <v>32</v>
      </c>
      <c r="B108" s="79" t="s">
        <v>530</v>
      </c>
      <c r="C108" s="41" t="s">
        <v>531</v>
      </c>
      <c r="D108" s="135" t="s">
        <v>532</v>
      </c>
      <c r="E108" s="135"/>
      <c r="F108" s="53" t="s">
        <v>167</v>
      </c>
      <c r="G108" s="78" t="str">
        <f t="shared" si="4"/>
        <v>Bügelmessschraube</v>
      </c>
      <c r="H108" s="78" t="str">
        <f t="shared" si="0"/>
        <v>MG</v>
      </c>
      <c r="I108" s="78" t="str">
        <f t="shared" si="1"/>
        <v>Micrometer gauge</v>
      </c>
      <c r="J108" s="53" t="str">
        <f t="shared" si="2"/>
        <v>MG</v>
      </c>
      <c r="K108" s="53" t="str">
        <f t="shared" si="3"/>
        <v>千分尺</v>
      </c>
      <c r="L108" s="53" t="s">
        <v>439</v>
      </c>
    </row>
    <row r="109" spans="1:12" ht="13.9">
      <c r="A109" s="77">
        <v>33</v>
      </c>
      <c r="B109" s="34" t="s">
        <v>533</v>
      </c>
      <c r="C109" s="41" t="s">
        <v>534</v>
      </c>
      <c r="D109" s="135" t="s">
        <v>535</v>
      </c>
      <c r="E109" s="53"/>
      <c r="F109" s="53" t="s">
        <v>260</v>
      </c>
      <c r="G109" s="78" t="str">
        <f t="shared" si="4"/>
        <v>Messschieber</v>
      </c>
      <c r="H109" s="78" t="str">
        <f t="shared" si="0"/>
        <v>CA</v>
      </c>
      <c r="I109" s="78" t="str">
        <f t="shared" si="1"/>
        <v>Caliper</v>
      </c>
      <c r="J109" s="53" t="str">
        <f t="shared" si="2"/>
        <v>CA</v>
      </c>
      <c r="K109" s="53" t="str">
        <f t="shared" si="3"/>
        <v>卡尺</v>
      </c>
      <c r="L109" s="53" t="s">
        <v>439</v>
      </c>
    </row>
    <row r="110" spans="1:12" ht="13.9">
      <c r="A110" s="77">
        <v>34</v>
      </c>
      <c r="B110" s="79" t="s">
        <v>536</v>
      </c>
      <c r="C110" s="41" t="s">
        <v>537</v>
      </c>
      <c r="D110" s="135" t="s">
        <v>538</v>
      </c>
      <c r="E110" s="53"/>
      <c r="F110" s="53" t="s">
        <v>210</v>
      </c>
      <c r="G110" s="78" t="str">
        <f t="shared" si="4"/>
        <v>Gewindelehre</v>
      </c>
      <c r="H110" s="78" t="str">
        <f t="shared" si="0"/>
        <v>TG</v>
      </c>
      <c r="I110" s="78" t="str">
        <f t="shared" si="1"/>
        <v>Thread gauge</v>
      </c>
      <c r="J110" s="53" t="str">
        <f t="shared" si="2"/>
        <v>TG</v>
      </c>
      <c r="K110" s="53" t="str">
        <f t="shared" si="3"/>
        <v>螺纹规</v>
      </c>
      <c r="L110" s="53" t="s">
        <v>439</v>
      </c>
    </row>
    <row r="111" spans="1:12" ht="13.9">
      <c r="A111" s="77">
        <v>35</v>
      </c>
      <c r="B111" s="34" t="s">
        <v>539</v>
      </c>
      <c r="C111" s="41" t="s">
        <v>540</v>
      </c>
      <c r="D111" s="135" t="s">
        <v>541</v>
      </c>
      <c r="E111" s="53"/>
      <c r="F111" s="53" t="s">
        <v>260</v>
      </c>
      <c r="G111" s="78" t="str">
        <f t="shared" si="4"/>
        <v>Messschieber</v>
      </c>
      <c r="H111" s="78" t="str">
        <f t="shared" si="0"/>
        <v>CA</v>
      </c>
      <c r="I111" s="78" t="str">
        <f t="shared" si="1"/>
        <v>Caliper</v>
      </c>
      <c r="J111" s="53" t="str">
        <f t="shared" si="2"/>
        <v>CA</v>
      </c>
      <c r="K111" s="53" t="str">
        <f t="shared" si="3"/>
        <v>卡尺</v>
      </c>
      <c r="L111" s="53" t="s">
        <v>439</v>
      </c>
    </row>
    <row r="112" spans="1:12" ht="13.9">
      <c r="A112" s="77">
        <v>36</v>
      </c>
      <c r="B112" s="34" t="s">
        <v>542</v>
      </c>
      <c r="C112" s="41" t="s">
        <v>543</v>
      </c>
      <c r="D112" s="135" t="s">
        <v>544</v>
      </c>
      <c r="E112" s="53"/>
      <c r="F112" s="53" t="s">
        <v>353</v>
      </c>
      <c r="G112" s="78" t="str">
        <f t="shared" si="4"/>
        <v>Sichtprüfung</v>
      </c>
      <c r="H112" s="78" t="str">
        <f t="shared" si="0"/>
        <v>VC</v>
      </c>
      <c r="I112" s="78" t="str">
        <f t="shared" si="1"/>
        <v>Visual check</v>
      </c>
      <c r="J112" s="53" t="str">
        <f t="shared" si="2"/>
        <v>VC</v>
      </c>
      <c r="K112" s="53" t="str">
        <f t="shared" si="3"/>
        <v>目视</v>
      </c>
      <c r="L112" s="53" t="s">
        <v>443</v>
      </c>
    </row>
    <row r="113" spans="1:12" ht="13.9">
      <c r="A113" s="77">
        <v>37</v>
      </c>
      <c r="B113" s="34" t="s">
        <v>545</v>
      </c>
      <c r="C113" s="41" t="s">
        <v>546</v>
      </c>
      <c r="D113" s="135" t="s">
        <v>547</v>
      </c>
      <c r="E113" s="53"/>
      <c r="F113" s="53" t="s">
        <v>228</v>
      </c>
      <c r="G113" s="78" t="str">
        <f t="shared" si="4"/>
        <v>Härteprüfgerät</v>
      </c>
      <c r="H113" s="78" t="str">
        <f t="shared" si="0"/>
        <v>HT</v>
      </c>
      <c r="I113" s="78" t="str">
        <f t="shared" si="1"/>
        <v>Hardness tester</v>
      </c>
      <c r="J113" s="53" t="str">
        <f t="shared" si="2"/>
        <v>HT</v>
      </c>
      <c r="K113" s="53" t="str">
        <f t="shared" si="3"/>
        <v>硬度测试仪</v>
      </c>
      <c r="L113" s="53" t="s">
        <v>439</v>
      </c>
    </row>
    <row r="114" spans="1:12" ht="13.9">
      <c r="A114" s="77">
        <v>38</v>
      </c>
      <c r="B114" s="79" t="s">
        <v>548</v>
      </c>
      <c r="C114" s="41" t="s">
        <v>549</v>
      </c>
      <c r="D114" s="135" t="s">
        <v>550</v>
      </c>
      <c r="E114" s="53"/>
      <c r="F114" s="53" t="s">
        <v>260</v>
      </c>
      <c r="G114" s="78" t="str">
        <f t="shared" si="4"/>
        <v>Messschieber</v>
      </c>
      <c r="H114" s="78" t="str">
        <f t="shared" si="0"/>
        <v>CA</v>
      </c>
      <c r="I114" s="78" t="str">
        <f t="shared" si="1"/>
        <v>Caliper</v>
      </c>
      <c r="J114" s="53" t="str">
        <f t="shared" si="2"/>
        <v>CA</v>
      </c>
      <c r="K114" s="53" t="str">
        <f t="shared" si="3"/>
        <v>卡尺</v>
      </c>
      <c r="L114" s="53" t="s">
        <v>439</v>
      </c>
    </row>
    <row r="115" spans="1:12" ht="13.9">
      <c r="A115" s="77">
        <v>39</v>
      </c>
      <c r="B115" s="34" t="s">
        <v>551</v>
      </c>
      <c r="C115" s="41" t="s">
        <v>552</v>
      </c>
      <c r="D115" s="135" t="s">
        <v>553</v>
      </c>
      <c r="E115" s="53"/>
      <c r="F115" s="53" t="s">
        <v>260</v>
      </c>
      <c r="G115" s="78" t="str">
        <f t="shared" si="4"/>
        <v>Messschieber</v>
      </c>
      <c r="H115" s="78" t="str">
        <f t="shared" si="0"/>
        <v>CA</v>
      </c>
      <c r="I115" s="78" t="str">
        <f t="shared" si="1"/>
        <v>Caliper</v>
      </c>
      <c r="J115" s="53" t="str">
        <f t="shared" si="2"/>
        <v>CA</v>
      </c>
      <c r="K115" s="53" t="str">
        <f t="shared" si="3"/>
        <v>卡尺</v>
      </c>
      <c r="L115" s="53" t="s">
        <v>439</v>
      </c>
    </row>
    <row r="116" spans="1:12" ht="13.9">
      <c r="A116" s="77">
        <v>40</v>
      </c>
      <c r="B116" s="34" t="s">
        <v>554</v>
      </c>
      <c r="C116" s="41" t="s">
        <v>555</v>
      </c>
      <c r="D116" s="135" t="s">
        <v>556</v>
      </c>
      <c r="E116" s="53"/>
      <c r="F116" s="53" t="s">
        <v>260</v>
      </c>
      <c r="G116" s="78" t="str">
        <f t="shared" si="4"/>
        <v>Messschieber</v>
      </c>
      <c r="H116" s="78" t="str">
        <f t="shared" si="0"/>
        <v>CA</v>
      </c>
      <c r="I116" s="78" t="str">
        <f t="shared" si="1"/>
        <v>Caliper</v>
      </c>
      <c r="J116" s="53" t="str">
        <f t="shared" si="2"/>
        <v>CA</v>
      </c>
      <c r="K116" s="53" t="str">
        <f t="shared" si="3"/>
        <v>卡尺</v>
      </c>
      <c r="L116" s="53" t="s">
        <v>439</v>
      </c>
    </row>
    <row r="117" spans="1:12" ht="13.9">
      <c r="A117" s="77">
        <v>41</v>
      </c>
      <c r="B117" s="79" t="s">
        <v>557</v>
      </c>
      <c r="C117" s="41" t="s">
        <v>558</v>
      </c>
      <c r="D117" s="135" t="s">
        <v>559</v>
      </c>
      <c r="E117" s="53"/>
      <c r="F117" s="53" t="s">
        <v>183</v>
      </c>
      <c r="G117" s="78" t="str">
        <f t="shared" si="4"/>
        <v>3D-Messmakroskop</v>
      </c>
      <c r="H117" s="78" t="str">
        <f t="shared" si="0"/>
        <v>3MMA</v>
      </c>
      <c r="I117" s="78" t="str">
        <f t="shared" si="1"/>
        <v>3D-Measuring macroscope</v>
      </c>
      <c r="J117" s="53" t="str">
        <f t="shared" si="2"/>
        <v>3MMA</v>
      </c>
      <c r="K117" s="53" t="str">
        <f t="shared" si="3"/>
        <v>3D 测量显微镜</v>
      </c>
      <c r="L117" s="53" t="s">
        <v>439</v>
      </c>
    </row>
    <row r="118" spans="1:12" ht="13.9">
      <c r="A118" s="77">
        <v>42</v>
      </c>
      <c r="B118" s="79" t="s">
        <v>560</v>
      </c>
      <c r="C118" s="41" t="s">
        <v>561</v>
      </c>
      <c r="D118" s="135" t="s">
        <v>562</v>
      </c>
      <c r="E118" s="53"/>
      <c r="F118" s="53" t="s">
        <v>183</v>
      </c>
      <c r="G118" s="78" t="str">
        <f t="shared" si="4"/>
        <v>3D-Messmakroskop</v>
      </c>
      <c r="H118" s="78" t="str">
        <f t="shared" si="0"/>
        <v>3MMA</v>
      </c>
      <c r="I118" s="78" t="str">
        <f t="shared" si="1"/>
        <v>3D-Measuring macroscope</v>
      </c>
      <c r="J118" s="53" t="str">
        <f t="shared" si="2"/>
        <v>3MMA</v>
      </c>
      <c r="K118" s="53" t="str">
        <f t="shared" si="3"/>
        <v>3D 测量显微镜</v>
      </c>
      <c r="L118" s="53" t="s">
        <v>439</v>
      </c>
    </row>
    <row r="119" spans="1:12" ht="13.9">
      <c r="A119" s="77">
        <v>43</v>
      </c>
      <c r="B119" s="34" t="s">
        <v>563</v>
      </c>
      <c r="C119" s="41" t="s">
        <v>564</v>
      </c>
      <c r="D119" s="135" t="s">
        <v>565</v>
      </c>
      <c r="E119" s="53"/>
      <c r="F119" s="53" t="s">
        <v>260</v>
      </c>
      <c r="G119" s="78" t="str">
        <f t="shared" si="4"/>
        <v>Messschieber</v>
      </c>
      <c r="H119" s="78" t="str">
        <f t="shared" si="0"/>
        <v>CA</v>
      </c>
      <c r="I119" s="78" t="str">
        <f t="shared" si="1"/>
        <v>Caliper</v>
      </c>
      <c r="J119" s="53" t="str">
        <f t="shared" si="2"/>
        <v>CA</v>
      </c>
      <c r="K119" s="53" t="str">
        <f t="shared" si="3"/>
        <v>卡尺</v>
      </c>
      <c r="L119" s="53" t="s">
        <v>439</v>
      </c>
    </row>
    <row r="120" spans="1:12" ht="13.9">
      <c r="A120" s="77">
        <v>44</v>
      </c>
      <c r="B120" s="34" t="s">
        <v>566</v>
      </c>
      <c r="C120" s="41" t="s">
        <v>567</v>
      </c>
      <c r="D120" s="135" t="s">
        <v>568</v>
      </c>
      <c r="E120" s="135"/>
      <c r="F120" s="53" t="s">
        <v>308</v>
      </c>
      <c r="G120" s="78" t="str">
        <f t="shared" si="4"/>
        <v>Profilprojektor</v>
      </c>
      <c r="H120" s="78" t="str">
        <f t="shared" si="0"/>
        <v>PP</v>
      </c>
      <c r="I120" s="78" t="str">
        <f t="shared" si="1"/>
        <v>Profile projector</v>
      </c>
      <c r="J120" s="53" t="str">
        <f t="shared" si="2"/>
        <v>PP</v>
      </c>
      <c r="K120" s="53" t="str">
        <f t="shared" si="3"/>
        <v>投影仪</v>
      </c>
      <c r="L120" s="53" t="s">
        <v>439</v>
      </c>
    </row>
    <row r="121" spans="1:12" ht="13.9">
      <c r="A121" s="77">
        <v>45</v>
      </c>
      <c r="B121" s="34" t="s">
        <v>569</v>
      </c>
      <c r="C121" s="41" t="s">
        <v>570</v>
      </c>
      <c r="D121" s="135" t="s">
        <v>571</v>
      </c>
      <c r="E121" s="53"/>
      <c r="F121" s="53" t="s">
        <v>183</v>
      </c>
      <c r="G121" s="78" t="str">
        <f t="shared" si="4"/>
        <v>3D-Messmakroskop</v>
      </c>
      <c r="H121" s="78" t="str">
        <f t="shared" si="0"/>
        <v>3MMA</v>
      </c>
      <c r="I121" s="78" t="str">
        <f t="shared" si="1"/>
        <v>3D-Measuring macroscope</v>
      </c>
      <c r="J121" s="53" t="str">
        <f t="shared" si="2"/>
        <v>3MMA</v>
      </c>
      <c r="K121" s="53" t="str">
        <f t="shared" si="3"/>
        <v>3D 测量显微镜</v>
      </c>
      <c r="L121" s="53" t="s">
        <v>439</v>
      </c>
    </row>
    <row r="122" spans="1:12" ht="13.9">
      <c r="A122" s="77">
        <v>46</v>
      </c>
      <c r="B122" s="79" t="s">
        <v>572</v>
      </c>
      <c r="C122" s="41" t="s">
        <v>573</v>
      </c>
      <c r="D122" s="135" t="s">
        <v>574</v>
      </c>
      <c r="E122" s="53"/>
      <c r="F122" s="53" t="s">
        <v>183</v>
      </c>
      <c r="G122" s="78" t="str">
        <f t="shared" si="4"/>
        <v>3D-Messmakroskop</v>
      </c>
      <c r="H122" s="78" t="str">
        <f t="shared" si="0"/>
        <v>3MMA</v>
      </c>
      <c r="I122" s="78" t="str">
        <f t="shared" si="1"/>
        <v>3D-Measuring macroscope</v>
      </c>
      <c r="J122" s="53" t="str">
        <f t="shared" si="2"/>
        <v>3MMA</v>
      </c>
      <c r="K122" s="53" t="str">
        <f t="shared" si="3"/>
        <v>3D 测量显微镜</v>
      </c>
      <c r="L122" s="53" t="s">
        <v>439</v>
      </c>
    </row>
    <row r="123" spans="1:12" ht="13.9">
      <c r="A123" s="77">
        <v>47</v>
      </c>
      <c r="B123" s="34" t="s">
        <v>575</v>
      </c>
      <c r="C123" s="41" t="s">
        <v>576</v>
      </c>
      <c r="D123" s="135" t="s">
        <v>577</v>
      </c>
      <c r="E123" s="53"/>
      <c r="F123" s="53" t="s">
        <v>353</v>
      </c>
      <c r="G123" s="78" t="str">
        <f t="shared" si="4"/>
        <v>Sichtprüfung</v>
      </c>
      <c r="H123" s="78" t="str">
        <f t="shared" si="0"/>
        <v>VC</v>
      </c>
      <c r="I123" s="78" t="str">
        <f t="shared" si="1"/>
        <v>Visual check</v>
      </c>
      <c r="J123" s="53" t="str">
        <f t="shared" si="2"/>
        <v>VC</v>
      </c>
      <c r="K123" s="53" t="str">
        <f t="shared" si="3"/>
        <v>目视</v>
      </c>
      <c r="L123" s="53" t="s">
        <v>443</v>
      </c>
    </row>
    <row r="124" spans="1:12" ht="13.9">
      <c r="A124" s="77">
        <v>48</v>
      </c>
      <c r="B124" s="34" t="s">
        <v>578</v>
      </c>
      <c r="C124" s="41" t="s">
        <v>359</v>
      </c>
      <c r="D124" s="135" t="s">
        <v>579</v>
      </c>
      <c r="E124" s="53"/>
      <c r="F124" s="53" t="s">
        <v>331</v>
      </c>
      <c r="G124" s="78" t="str">
        <f t="shared" si="4"/>
        <v>Röntgenfluoreszenzgerät</v>
      </c>
      <c r="H124" s="78" t="str">
        <f t="shared" si="0"/>
        <v>XF</v>
      </c>
      <c r="I124" s="78" t="str">
        <f t="shared" si="1"/>
        <v>X-ray fluorescence</v>
      </c>
      <c r="J124" s="53" t="str">
        <f t="shared" si="2"/>
        <v>XF</v>
      </c>
      <c r="K124" s="53" t="str">
        <f t="shared" si="3"/>
        <v>x射线测量仪</v>
      </c>
      <c r="L124" s="53" t="s">
        <v>439</v>
      </c>
    </row>
    <row r="125" spans="1:12" ht="13.9">
      <c r="A125" s="77">
        <v>49</v>
      </c>
      <c r="B125" s="34" t="s">
        <v>580</v>
      </c>
      <c r="C125" s="34" t="s">
        <v>581</v>
      </c>
      <c r="D125" s="135" t="s">
        <v>582</v>
      </c>
      <c r="E125" s="53"/>
      <c r="F125" s="53" t="s">
        <v>260</v>
      </c>
      <c r="G125" s="78" t="str">
        <f t="shared" si="4"/>
        <v>Messschieber</v>
      </c>
      <c r="H125" s="78" t="str">
        <f t="shared" si="0"/>
        <v>CA</v>
      </c>
      <c r="I125" s="78" t="str">
        <f t="shared" si="1"/>
        <v>Caliper</v>
      </c>
      <c r="J125" s="53" t="str">
        <f t="shared" si="2"/>
        <v>CA</v>
      </c>
      <c r="K125" s="53" t="str">
        <f t="shared" si="3"/>
        <v>卡尺</v>
      </c>
      <c r="L125" s="53" t="s">
        <v>439</v>
      </c>
    </row>
    <row r="126" spans="1:12" ht="13.9">
      <c r="A126" s="77">
        <v>50</v>
      </c>
      <c r="B126" s="34" t="s">
        <v>583</v>
      </c>
      <c r="C126" s="41" t="s">
        <v>584</v>
      </c>
      <c r="D126" s="135" t="s">
        <v>585</v>
      </c>
      <c r="E126" s="53"/>
      <c r="F126" s="53" t="s">
        <v>260</v>
      </c>
      <c r="G126" s="78" t="str">
        <f t="shared" si="4"/>
        <v>Messschieber</v>
      </c>
      <c r="H126" s="78" t="str">
        <f t="shared" si="0"/>
        <v>CA</v>
      </c>
      <c r="I126" s="78" t="str">
        <f t="shared" si="1"/>
        <v>Caliper</v>
      </c>
      <c r="J126" s="53" t="str">
        <f t="shared" si="2"/>
        <v>CA</v>
      </c>
      <c r="K126" s="53" t="str">
        <f t="shared" si="3"/>
        <v>卡尺</v>
      </c>
      <c r="L126" s="53" t="s">
        <v>439</v>
      </c>
    </row>
    <row r="127" spans="1:12" ht="13.9">
      <c r="A127" s="77">
        <v>51</v>
      </c>
      <c r="B127" s="34" t="s">
        <v>586</v>
      </c>
      <c r="C127" s="41" t="s">
        <v>587</v>
      </c>
      <c r="D127" s="135" t="s">
        <v>588</v>
      </c>
      <c r="E127" s="53"/>
      <c r="F127" s="53" t="s">
        <v>260</v>
      </c>
      <c r="G127" s="78" t="str">
        <f t="shared" si="4"/>
        <v>Messschieber</v>
      </c>
      <c r="H127" s="78" t="str">
        <f t="shared" si="0"/>
        <v>CA</v>
      </c>
      <c r="I127" s="78" t="str">
        <f t="shared" si="1"/>
        <v>Caliper</v>
      </c>
      <c r="J127" s="53" t="str">
        <f t="shared" si="2"/>
        <v>CA</v>
      </c>
      <c r="K127" s="53" t="str">
        <f t="shared" si="3"/>
        <v>卡尺</v>
      </c>
      <c r="L127" s="53" t="s">
        <v>439</v>
      </c>
    </row>
    <row r="128" spans="1:12" ht="13.9">
      <c r="A128" s="77">
        <v>52</v>
      </c>
      <c r="B128" s="34" t="s">
        <v>589</v>
      </c>
      <c r="C128" s="41" t="s">
        <v>590</v>
      </c>
      <c r="D128" s="135" t="s">
        <v>591</v>
      </c>
      <c r="E128" s="53"/>
      <c r="F128" s="53" t="s">
        <v>353</v>
      </c>
      <c r="G128" s="78" t="str">
        <f t="shared" si="4"/>
        <v>Sichtprüfung</v>
      </c>
      <c r="H128" s="78" t="str">
        <f t="shared" si="0"/>
        <v>VC</v>
      </c>
      <c r="I128" s="78" t="str">
        <f t="shared" si="1"/>
        <v>Visual check</v>
      </c>
      <c r="J128" s="53" t="str">
        <f t="shared" si="2"/>
        <v>VC</v>
      </c>
      <c r="K128" s="53" t="str">
        <f t="shared" si="3"/>
        <v>目视</v>
      </c>
      <c r="L128" s="53" t="s">
        <v>439</v>
      </c>
    </row>
    <row r="129" spans="1:12" ht="13.9">
      <c r="A129" s="77">
        <v>53</v>
      </c>
      <c r="B129" s="34" t="s">
        <v>592</v>
      </c>
      <c r="C129" s="41" t="s">
        <v>593</v>
      </c>
      <c r="D129" s="135" t="s">
        <v>594</v>
      </c>
      <c r="E129" s="53"/>
      <c r="F129" s="53" t="s">
        <v>219</v>
      </c>
      <c r="G129" s="78" t="str">
        <f t="shared" si="4"/>
        <v>Gut-/Schlecht-Lehre</v>
      </c>
      <c r="H129" s="78" t="str">
        <f t="shared" si="0"/>
        <v>GNG</v>
      </c>
      <c r="I129" s="78" t="str">
        <f t="shared" si="1"/>
        <v>Go-/No-Go gauge</v>
      </c>
      <c r="J129" s="53" t="str">
        <f t="shared" si="2"/>
        <v>GNG</v>
      </c>
      <c r="K129" s="53" t="str">
        <f t="shared" si="3"/>
        <v>通/止规</v>
      </c>
      <c r="L129" s="53" t="s">
        <v>439</v>
      </c>
    </row>
    <row r="130" spans="1:12" ht="13.9">
      <c r="A130" s="77">
        <v>54</v>
      </c>
      <c r="B130" s="34" t="s">
        <v>595</v>
      </c>
      <c r="C130" s="41" t="s">
        <v>596</v>
      </c>
      <c r="D130" s="135" t="s">
        <v>597</v>
      </c>
      <c r="E130" s="53"/>
      <c r="F130" s="53" t="s">
        <v>276</v>
      </c>
      <c r="G130" s="78" t="str">
        <f t="shared" si="4"/>
        <v>Messuhr</v>
      </c>
      <c r="H130" s="78" t="str">
        <f t="shared" si="0"/>
        <v>DG</v>
      </c>
      <c r="I130" s="78" t="str">
        <f t="shared" si="1"/>
        <v>Dial gauge</v>
      </c>
      <c r="J130" s="53" t="str">
        <f t="shared" si="2"/>
        <v>DG</v>
      </c>
      <c r="K130" s="53" t="str">
        <f t="shared" si="3"/>
        <v>千分表</v>
      </c>
      <c r="L130" s="53" t="s">
        <v>439</v>
      </c>
    </row>
    <row r="131" spans="1:12" ht="13.9">
      <c r="A131" s="77">
        <v>55</v>
      </c>
      <c r="B131" s="34" t="s">
        <v>598</v>
      </c>
      <c r="C131" s="34" t="s">
        <v>598</v>
      </c>
      <c r="D131" s="135" t="s">
        <v>599</v>
      </c>
      <c r="E131" s="53"/>
      <c r="F131" s="53" t="s">
        <v>253</v>
      </c>
      <c r="G131" s="78" t="str">
        <f t="shared" si="4"/>
        <v>Messmaschine</v>
      </c>
      <c r="H131" s="78" t="str">
        <f t="shared" si="0"/>
        <v>MM</v>
      </c>
      <c r="I131" s="78" t="str">
        <f t="shared" si="1"/>
        <v>Measuring machine</v>
      </c>
      <c r="J131" s="53" t="str">
        <f t="shared" si="2"/>
        <v>MM</v>
      </c>
      <c r="K131" s="53" t="str">
        <f t="shared" si="3"/>
        <v>测量仪器</v>
      </c>
      <c r="L131" s="53" t="s">
        <v>439</v>
      </c>
    </row>
    <row r="132" spans="1:12" ht="13.9">
      <c r="A132" s="77">
        <v>56</v>
      </c>
      <c r="B132" s="34" t="s">
        <v>600</v>
      </c>
      <c r="C132" s="41" t="s">
        <v>601</v>
      </c>
      <c r="D132" s="135" t="s">
        <v>602</v>
      </c>
      <c r="E132" s="53"/>
      <c r="F132" s="53" t="s">
        <v>219</v>
      </c>
      <c r="G132" s="78" t="str">
        <f t="shared" si="4"/>
        <v>Gut-/Schlecht-Lehre</v>
      </c>
      <c r="H132" s="78" t="str">
        <f t="shared" si="0"/>
        <v>GNG</v>
      </c>
      <c r="I132" s="78" t="str">
        <f t="shared" si="1"/>
        <v>Go-/No-Go gauge</v>
      </c>
      <c r="J132" s="53" t="str">
        <f t="shared" si="2"/>
        <v>GNG</v>
      </c>
      <c r="K132" s="53" t="str">
        <f t="shared" si="3"/>
        <v>通/止规</v>
      </c>
      <c r="L132" s="53" t="s">
        <v>439</v>
      </c>
    </row>
    <row r="133" spans="1:12" ht="13.9">
      <c r="A133" s="77">
        <v>57</v>
      </c>
      <c r="B133" s="34" t="s">
        <v>603</v>
      </c>
      <c r="C133" s="41" t="s">
        <v>604</v>
      </c>
      <c r="D133" s="135" t="s">
        <v>605</v>
      </c>
      <c r="E133" s="53"/>
      <c r="F133" s="53" t="s">
        <v>276</v>
      </c>
      <c r="G133" s="78" t="str">
        <f t="shared" si="4"/>
        <v>Messuhr</v>
      </c>
      <c r="H133" s="78" t="str">
        <f t="shared" si="0"/>
        <v>DG</v>
      </c>
      <c r="I133" s="78" t="str">
        <f t="shared" si="1"/>
        <v>Dial gauge</v>
      </c>
      <c r="J133" s="53" t="str">
        <f t="shared" si="2"/>
        <v>DG</v>
      </c>
      <c r="K133" s="53" t="str">
        <f t="shared" si="3"/>
        <v>千分表</v>
      </c>
      <c r="L133" s="53" t="s">
        <v>439</v>
      </c>
    </row>
    <row r="134" spans="1:12" ht="13.9">
      <c r="A134" s="77">
        <v>58</v>
      </c>
      <c r="B134" s="79" t="s">
        <v>606</v>
      </c>
      <c r="C134" s="41" t="s">
        <v>607</v>
      </c>
      <c r="D134" s="135" t="s">
        <v>608</v>
      </c>
      <c r="E134" s="53"/>
      <c r="F134" s="53" t="s">
        <v>353</v>
      </c>
      <c r="G134" s="78" t="str">
        <f t="shared" si="4"/>
        <v>Sichtprüfung</v>
      </c>
      <c r="H134" s="78" t="str">
        <f t="shared" si="0"/>
        <v>VC</v>
      </c>
      <c r="I134" s="78" t="str">
        <f t="shared" si="1"/>
        <v>Visual check</v>
      </c>
      <c r="J134" s="53" t="str">
        <f t="shared" si="2"/>
        <v>VC</v>
      </c>
      <c r="K134" s="53" t="str">
        <f t="shared" si="3"/>
        <v>目视</v>
      </c>
      <c r="L134" s="53" t="s">
        <v>443</v>
      </c>
    </row>
    <row r="135" spans="1:12" ht="13.9">
      <c r="A135" s="77">
        <v>59</v>
      </c>
      <c r="B135" s="34" t="s">
        <v>609</v>
      </c>
      <c r="C135" s="41" t="s">
        <v>610</v>
      </c>
      <c r="D135" s="135" t="s">
        <v>611</v>
      </c>
      <c r="E135" s="53"/>
      <c r="F135" s="53" t="s">
        <v>201</v>
      </c>
      <c r="G135" s="78" t="str">
        <f t="shared" si="4"/>
        <v>Funktionsprüfung</v>
      </c>
      <c r="H135" s="78" t="str">
        <f t="shared" si="0"/>
        <v>FC</v>
      </c>
      <c r="I135" s="78" t="str">
        <f t="shared" si="1"/>
        <v>Function check</v>
      </c>
      <c r="J135" s="53" t="str">
        <f t="shared" si="2"/>
        <v>FC</v>
      </c>
      <c r="K135" s="53" t="str">
        <f t="shared" si="3"/>
        <v>功能确认</v>
      </c>
      <c r="L135" s="53" t="s">
        <v>439</v>
      </c>
    </row>
    <row r="136" spans="1:12" ht="13.9">
      <c r="A136" s="77">
        <v>60</v>
      </c>
      <c r="B136" s="79" t="s">
        <v>612</v>
      </c>
      <c r="C136" s="41" t="s">
        <v>613</v>
      </c>
      <c r="D136" s="135" t="s">
        <v>614</v>
      </c>
      <c r="E136" s="53"/>
      <c r="F136" s="53" t="s">
        <v>377</v>
      </c>
      <c r="G136" s="78" t="str">
        <f t="shared" si="4"/>
        <v>Zugmaschine</v>
      </c>
      <c r="H136" s="78" t="str">
        <f t="shared" si="0"/>
        <v>PM</v>
      </c>
      <c r="I136" s="78" t="str">
        <f t="shared" si="1"/>
        <v>Pulling machine</v>
      </c>
      <c r="J136" s="53" t="str">
        <f t="shared" si="2"/>
        <v>PM</v>
      </c>
      <c r="K136" s="53" t="str">
        <f t="shared" si="3"/>
        <v>拉拔仪</v>
      </c>
      <c r="L136" s="53" t="s">
        <v>439</v>
      </c>
    </row>
    <row r="137" spans="1:12" ht="13.9">
      <c r="A137" s="77">
        <v>61</v>
      </c>
      <c r="B137" s="79" t="s">
        <v>615</v>
      </c>
      <c r="C137" s="41" t="s">
        <v>615</v>
      </c>
      <c r="D137" s="135" t="s">
        <v>616</v>
      </c>
      <c r="E137" s="53"/>
      <c r="F137" s="53" t="s">
        <v>339</v>
      </c>
      <c r="G137" s="78" t="str">
        <f t="shared" si="4"/>
        <v>Radiuslehre</v>
      </c>
      <c r="H137" s="78" t="str">
        <f t="shared" si="0"/>
        <v>RG</v>
      </c>
      <c r="I137" s="78" t="str">
        <f t="shared" si="1"/>
        <v>Radius gauge</v>
      </c>
      <c r="J137" s="53" t="str">
        <f t="shared" si="2"/>
        <v>RG</v>
      </c>
      <c r="K137" s="53" t="str">
        <f t="shared" si="3"/>
        <v>半径规</v>
      </c>
      <c r="L137" s="53" t="s">
        <v>439</v>
      </c>
    </row>
    <row r="138" spans="1:12" ht="13.9">
      <c r="A138" s="77">
        <v>62</v>
      </c>
      <c r="B138" s="34" t="s">
        <v>617</v>
      </c>
      <c r="C138" s="41" t="s">
        <v>618</v>
      </c>
      <c r="D138" s="135" t="s">
        <v>619</v>
      </c>
      <c r="E138" s="53"/>
      <c r="F138" s="53" t="s">
        <v>346</v>
      </c>
      <c r="G138" s="78" t="str">
        <f t="shared" si="4"/>
        <v>Rauheitsmessgerät</v>
      </c>
      <c r="H138" s="78" t="str">
        <f t="shared" si="0"/>
        <v>RM</v>
      </c>
      <c r="I138" s="78" t="str">
        <f t="shared" si="1"/>
        <v>Roughness measuring device</v>
      </c>
      <c r="J138" s="53" t="str">
        <f t="shared" si="2"/>
        <v>RM</v>
      </c>
      <c r="K138" s="53" t="str">
        <f t="shared" si="3"/>
        <v>粗糙度仪</v>
      </c>
      <c r="L138" s="53" t="s">
        <v>439</v>
      </c>
    </row>
    <row r="139" spans="1:12" ht="13.9">
      <c r="A139" s="77">
        <v>63</v>
      </c>
      <c r="B139" s="34" t="s">
        <v>620</v>
      </c>
      <c r="C139" s="41" t="s">
        <v>621</v>
      </c>
      <c r="D139" s="135" t="s">
        <v>622</v>
      </c>
      <c r="E139" s="53"/>
      <c r="F139" s="53" t="s">
        <v>183</v>
      </c>
      <c r="G139" s="78" t="str">
        <f t="shared" si="4"/>
        <v>3D-Messmakroskop</v>
      </c>
      <c r="H139" s="78" t="str">
        <f t="shared" si="0"/>
        <v>3MMA</v>
      </c>
      <c r="I139" s="78" t="str">
        <f t="shared" si="1"/>
        <v>3D-Measuring macroscope</v>
      </c>
      <c r="J139" s="53" t="str">
        <f t="shared" si="2"/>
        <v>3MMA</v>
      </c>
      <c r="K139" s="53" t="str">
        <f t="shared" si="3"/>
        <v>3D 测量显微镜</v>
      </c>
      <c r="L139" s="53" t="s">
        <v>439</v>
      </c>
    </row>
    <row r="140" spans="1:12" ht="13.9">
      <c r="A140" s="77">
        <v>64</v>
      </c>
      <c r="B140" s="34" t="s">
        <v>623</v>
      </c>
      <c r="C140" s="41" t="s">
        <v>624</v>
      </c>
      <c r="D140" s="135" t="s">
        <v>625</v>
      </c>
      <c r="E140" s="53"/>
      <c r="F140" s="53" t="s">
        <v>353</v>
      </c>
      <c r="G140" s="78" t="str">
        <f t="shared" si="4"/>
        <v>Sichtprüfung</v>
      </c>
      <c r="H140" s="78" t="str">
        <f t="shared" si="0"/>
        <v>VC</v>
      </c>
      <c r="I140" s="78" t="str">
        <f t="shared" si="1"/>
        <v>Visual check</v>
      </c>
      <c r="J140" s="53" t="str">
        <f t="shared" si="2"/>
        <v>VC</v>
      </c>
      <c r="K140" s="53" t="str">
        <f t="shared" si="3"/>
        <v>目视</v>
      </c>
      <c r="L140" s="53" t="s">
        <v>443</v>
      </c>
    </row>
    <row r="141" spans="1:12" ht="13.9">
      <c r="A141" s="77">
        <v>65</v>
      </c>
      <c r="B141" s="34" t="s">
        <v>626</v>
      </c>
      <c r="C141" s="41" t="s">
        <v>627</v>
      </c>
      <c r="D141" s="135" t="s">
        <v>628</v>
      </c>
      <c r="E141" s="53"/>
      <c r="F141" s="53" t="s">
        <v>183</v>
      </c>
      <c r="G141" s="78" t="str">
        <f t="shared" si="4"/>
        <v>3D-Messmakroskop</v>
      </c>
      <c r="H141" s="78" t="str">
        <f t="shared" si="0"/>
        <v>3MMA</v>
      </c>
      <c r="I141" s="78" t="str">
        <f t="shared" si="1"/>
        <v>3D-Measuring macroscope</v>
      </c>
      <c r="J141" s="53" t="str">
        <f t="shared" si="2"/>
        <v>3MMA</v>
      </c>
      <c r="K141" s="53" t="str">
        <f t="shared" si="3"/>
        <v>3D 测量显微镜</v>
      </c>
      <c r="L141" s="53" t="s">
        <v>439</v>
      </c>
    </row>
    <row r="142" spans="1:12" ht="13.9">
      <c r="A142" s="77">
        <v>66</v>
      </c>
      <c r="B142" s="79" t="s">
        <v>629</v>
      </c>
      <c r="C142" s="41" t="s">
        <v>630</v>
      </c>
      <c r="D142" s="135" t="s">
        <v>631</v>
      </c>
      <c r="E142" s="53"/>
      <c r="F142" s="53" t="s">
        <v>260</v>
      </c>
      <c r="G142" s="78" t="str">
        <f t="shared" si="4"/>
        <v>Messschieber</v>
      </c>
      <c r="H142" s="78" t="str">
        <f t="shared" ref="H142:H173" si="5">VLOOKUP($F142,$F$34:$K$63,3,FALSE)</f>
        <v>CA</v>
      </c>
      <c r="I142" s="78" t="str">
        <f t="shared" ref="I142:I173" si="6">VLOOKUP($F142,$F$34:$K$63,4,FALSE)</f>
        <v>Caliper</v>
      </c>
      <c r="J142" s="53" t="str">
        <f t="shared" ref="J142:J173" si="7">VLOOKUP($F142,$F$34:$K$63,5,FALSE)</f>
        <v>CA</v>
      </c>
      <c r="K142" s="53" t="str">
        <f t="shared" ref="K142:K173" si="8">VLOOKUP($F142,$F$34:$K$63,6,FALSE)</f>
        <v>卡尺</v>
      </c>
      <c r="L142" s="53" t="s">
        <v>439</v>
      </c>
    </row>
    <row r="143" spans="1:12" ht="13.9">
      <c r="A143" s="77">
        <v>67</v>
      </c>
      <c r="B143" s="34" t="s">
        <v>632</v>
      </c>
      <c r="C143" s="34" t="s">
        <v>633</v>
      </c>
      <c r="D143" s="147" t="s">
        <v>634</v>
      </c>
      <c r="E143" s="53"/>
      <c r="F143" s="53" t="s">
        <v>353</v>
      </c>
      <c r="G143" s="78" t="str">
        <f t="shared" ref="G143:G173" si="9">VLOOKUP($F143,$F$34:$K$63,2,FALSE)</f>
        <v>Sichtprüfung</v>
      </c>
      <c r="H143" s="78" t="str">
        <f t="shared" si="5"/>
        <v>VC</v>
      </c>
      <c r="I143" s="78" t="str">
        <f t="shared" si="6"/>
        <v>Visual check</v>
      </c>
      <c r="J143" s="53" t="str">
        <f t="shared" si="7"/>
        <v>VC</v>
      </c>
      <c r="K143" s="53" t="str">
        <f t="shared" si="8"/>
        <v>目视</v>
      </c>
      <c r="L143" s="53" t="s">
        <v>443</v>
      </c>
    </row>
    <row r="144" spans="1:12" ht="13.9">
      <c r="A144" s="77">
        <v>68</v>
      </c>
      <c r="B144" s="34" t="s">
        <v>635</v>
      </c>
      <c r="C144" s="41" t="s">
        <v>636</v>
      </c>
      <c r="D144" s="135" t="s">
        <v>637</v>
      </c>
      <c r="E144" s="53"/>
      <c r="F144" s="53" t="s">
        <v>353</v>
      </c>
      <c r="G144" s="78" t="str">
        <f t="shared" si="9"/>
        <v>Sichtprüfung</v>
      </c>
      <c r="H144" s="78" t="str">
        <f t="shared" si="5"/>
        <v>VC</v>
      </c>
      <c r="I144" s="78" t="str">
        <f t="shared" si="6"/>
        <v>Visual check</v>
      </c>
      <c r="J144" s="53" t="str">
        <f t="shared" si="7"/>
        <v>VC</v>
      </c>
      <c r="K144" s="53" t="str">
        <f t="shared" si="8"/>
        <v>目视</v>
      </c>
      <c r="L144" s="53" t="s">
        <v>443</v>
      </c>
    </row>
    <row r="145" spans="1:12" ht="13.9">
      <c r="A145" s="77">
        <v>69</v>
      </c>
      <c r="B145" s="34" t="s">
        <v>638</v>
      </c>
      <c r="C145" s="34" t="s">
        <v>639</v>
      </c>
      <c r="D145" s="135" t="s">
        <v>640</v>
      </c>
      <c r="E145" s="53"/>
      <c r="F145" s="53" t="s">
        <v>353</v>
      </c>
      <c r="G145" s="78" t="str">
        <f t="shared" si="9"/>
        <v>Sichtprüfung</v>
      </c>
      <c r="H145" s="78" t="str">
        <f t="shared" si="5"/>
        <v>VC</v>
      </c>
      <c r="I145" s="78" t="str">
        <f t="shared" si="6"/>
        <v>Visual check</v>
      </c>
      <c r="J145" s="53" t="str">
        <f t="shared" si="7"/>
        <v>VC</v>
      </c>
      <c r="K145" s="53" t="str">
        <f t="shared" si="8"/>
        <v>目视</v>
      </c>
      <c r="L145" s="53" t="s">
        <v>443</v>
      </c>
    </row>
    <row r="146" spans="1:12" ht="13.9">
      <c r="A146" s="77">
        <v>70</v>
      </c>
      <c r="B146" s="34" t="s">
        <v>354</v>
      </c>
      <c r="C146" s="34" t="s">
        <v>356</v>
      </c>
      <c r="D146" s="135" t="s">
        <v>641</v>
      </c>
      <c r="E146" s="53"/>
      <c r="F146" s="53" t="s">
        <v>353</v>
      </c>
      <c r="G146" s="78" t="str">
        <f t="shared" si="9"/>
        <v>Sichtprüfung</v>
      </c>
      <c r="H146" s="78" t="str">
        <f t="shared" si="5"/>
        <v>VC</v>
      </c>
      <c r="I146" s="78" t="str">
        <f t="shared" si="6"/>
        <v>Visual check</v>
      </c>
      <c r="J146" s="53" t="str">
        <f t="shared" si="7"/>
        <v>VC</v>
      </c>
      <c r="K146" s="53" t="str">
        <f t="shared" si="8"/>
        <v>目视</v>
      </c>
      <c r="L146" s="53" t="s">
        <v>443</v>
      </c>
    </row>
    <row r="147" spans="1:12" ht="13.9">
      <c r="A147" s="77">
        <v>71</v>
      </c>
      <c r="B147" s="34" t="s">
        <v>642</v>
      </c>
      <c r="C147" s="41" t="s">
        <v>643</v>
      </c>
      <c r="D147" s="135" t="s">
        <v>644</v>
      </c>
      <c r="E147" s="53"/>
      <c r="F147" s="53" t="s">
        <v>353</v>
      </c>
      <c r="G147" s="78" t="str">
        <f t="shared" si="9"/>
        <v>Sichtprüfung</v>
      </c>
      <c r="H147" s="78" t="str">
        <f t="shared" si="5"/>
        <v>VC</v>
      </c>
      <c r="I147" s="78" t="str">
        <f t="shared" si="6"/>
        <v>Visual check</v>
      </c>
      <c r="J147" s="53" t="str">
        <f t="shared" si="7"/>
        <v>VC</v>
      </c>
      <c r="K147" s="53" t="str">
        <f t="shared" si="8"/>
        <v>目视</v>
      </c>
      <c r="L147" s="53" t="s">
        <v>443</v>
      </c>
    </row>
    <row r="148" spans="1:12" ht="13.9">
      <c r="A148" s="77">
        <v>72</v>
      </c>
      <c r="B148" s="34" t="s">
        <v>645</v>
      </c>
      <c r="C148" s="41" t="s">
        <v>646</v>
      </c>
      <c r="D148" s="135" t="s">
        <v>647</v>
      </c>
      <c r="E148" s="53"/>
      <c r="F148" s="53" t="s">
        <v>323</v>
      </c>
      <c r="G148" s="78" t="str">
        <f t="shared" si="9"/>
        <v>Rohrschellendummy</v>
      </c>
      <c r="H148" s="78" t="str">
        <f t="shared" si="5"/>
        <v>PD</v>
      </c>
      <c r="I148" s="78" t="str">
        <f t="shared" si="6"/>
        <v>Pipe clamp dummy</v>
      </c>
      <c r="J148" s="53" t="str">
        <f t="shared" si="7"/>
        <v>PD</v>
      </c>
      <c r="K148" s="53" t="str">
        <f t="shared" si="8"/>
        <v>管卡检具</v>
      </c>
      <c r="L148" s="53" t="s">
        <v>439</v>
      </c>
    </row>
    <row r="149" spans="1:12" ht="13.9">
      <c r="A149" s="77">
        <v>73</v>
      </c>
      <c r="B149" s="34" t="s">
        <v>648</v>
      </c>
      <c r="C149" s="41" t="s">
        <v>649</v>
      </c>
      <c r="D149" s="135" t="s">
        <v>650</v>
      </c>
      <c r="E149" s="53"/>
      <c r="F149" s="53" t="s">
        <v>353</v>
      </c>
      <c r="G149" s="78" t="str">
        <f t="shared" si="9"/>
        <v>Sichtprüfung</v>
      </c>
      <c r="H149" s="78" t="str">
        <f t="shared" si="5"/>
        <v>VC</v>
      </c>
      <c r="I149" s="78" t="str">
        <f t="shared" si="6"/>
        <v>Visual check</v>
      </c>
      <c r="J149" s="53" t="str">
        <f t="shared" si="7"/>
        <v>VC</v>
      </c>
      <c r="K149" s="53" t="str">
        <f t="shared" si="8"/>
        <v>目视</v>
      </c>
      <c r="L149" s="53" t="s">
        <v>443</v>
      </c>
    </row>
    <row r="150" spans="1:12" ht="13.9">
      <c r="A150" s="77">
        <v>74</v>
      </c>
      <c r="B150" s="34" t="s">
        <v>651</v>
      </c>
      <c r="C150" s="34" t="s">
        <v>652</v>
      </c>
      <c r="D150" s="135" t="s">
        <v>653</v>
      </c>
      <c r="E150" s="53"/>
      <c r="F150" s="53" t="s">
        <v>260</v>
      </c>
      <c r="G150" s="78" t="str">
        <f t="shared" si="9"/>
        <v>Messschieber</v>
      </c>
      <c r="H150" s="78" t="str">
        <f t="shared" si="5"/>
        <v>CA</v>
      </c>
      <c r="I150" s="78" t="str">
        <f t="shared" si="6"/>
        <v>Caliper</v>
      </c>
      <c r="J150" s="53" t="str">
        <f t="shared" si="7"/>
        <v>CA</v>
      </c>
      <c r="K150" s="53" t="str">
        <f t="shared" si="8"/>
        <v>卡尺</v>
      </c>
      <c r="L150" s="53" t="s">
        <v>439</v>
      </c>
    </row>
    <row r="151" spans="1:12" ht="13.9">
      <c r="A151" s="77">
        <v>75</v>
      </c>
      <c r="B151" s="34" t="s">
        <v>654</v>
      </c>
      <c r="C151" s="34" t="s">
        <v>655</v>
      </c>
      <c r="D151" s="135" t="s">
        <v>656</v>
      </c>
      <c r="E151" s="53"/>
      <c r="F151" s="53" t="s">
        <v>377</v>
      </c>
      <c r="G151" s="78" t="str">
        <f t="shared" si="9"/>
        <v>Zugmaschine</v>
      </c>
      <c r="H151" s="78" t="str">
        <f t="shared" si="5"/>
        <v>PM</v>
      </c>
      <c r="I151" s="78" t="str">
        <f t="shared" si="6"/>
        <v>Pulling machine</v>
      </c>
      <c r="J151" s="53" t="str">
        <f t="shared" si="7"/>
        <v>PM</v>
      </c>
      <c r="K151" s="53" t="str">
        <f t="shared" si="8"/>
        <v>拉拔仪</v>
      </c>
      <c r="L151" s="53" t="s">
        <v>439</v>
      </c>
    </row>
    <row r="152" spans="1:12" ht="13.9">
      <c r="A152" s="77">
        <v>76</v>
      </c>
      <c r="B152" s="79" t="s">
        <v>657</v>
      </c>
      <c r="C152" s="41" t="s">
        <v>658</v>
      </c>
      <c r="D152" s="135" t="s">
        <v>659</v>
      </c>
      <c r="E152" s="53"/>
      <c r="F152" s="53" t="s">
        <v>260</v>
      </c>
      <c r="G152" s="78" t="str">
        <f t="shared" si="9"/>
        <v>Messschieber</v>
      </c>
      <c r="H152" s="78" t="str">
        <f t="shared" si="5"/>
        <v>CA</v>
      </c>
      <c r="I152" s="78" t="str">
        <f t="shared" si="6"/>
        <v>Caliper</v>
      </c>
      <c r="J152" s="53" t="str">
        <f t="shared" si="7"/>
        <v>CA</v>
      </c>
      <c r="K152" s="53" t="str">
        <f t="shared" si="8"/>
        <v>卡尺</v>
      </c>
      <c r="L152" s="53" t="s">
        <v>439</v>
      </c>
    </row>
    <row r="153" spans="1:12" ht="13.9">
      <c r="A153" s="77">
        <v>77</v>
      </c>
      <c r="B153" s="34" t="s">
        <v>660</v>
      </c>
      <c r="C153" s="41" t="s">
        <v>661</v>
      </c>
      <c r="D153" s="135" t="s">
        <v>662</v>
      </c>
      <c r="E153" s="53"/>
      <c r="F153" s="53" t="s">
        <v>219</v>
      </c>
      <c r="G153" s="78" t="str">
        <f t="shared" si="9"/>
        <v>Gut-/Schlecht-Lehre</v>
      </c>
      <c r="H153" s="78" t="str">
        <f t="shared" si="5"/>
        <v>GNG</v>
      </c>
      <c r="I153" s="78" t="str">
        <f t="shared" si="6"/>
        <v>Go-/No-Go gauge</v>
      </c>
      <c r="J153" s="53" t="str">
        <f t="shared" si="7"/>
        <v>GNG</v>
      </c>
      <c r="K153" s="53" t="str">
        <f t="shared" si="8"/>
        <v>通/止规</v>
      </c>
      <c r="L153" s="53" t="s">
        <v>439</v>
      </c>
    </row>
    <row r="154" spans="1:12" ht="13.9">
      <c r="A154" s="77">
        <v>78</v>
      </c>
      <c r="B154" s="34" t="s">
        <v>663</v>
      </c>
      <c r="C154" s="41" t="s">
        <v>664</v>
      </c>
      <c r="D154" s="135" t="s">
        <v>665</v>
      </c>
      <c r="E154" s="53"/>
      <c r="F154" s="53" t="s">
        <v>276</v>
      </c>
      <c r="G154" s="78" t="str">
        <f t="shared" si="9"/>
        <v>Messuhr</v>
      </c>
      <c r="H154" s="78" t="str">
        <f t="shared" si="5"/>
        <v>DG</v>
      </c>
      <c r="I154" s="78" t="str">
        <f t="shared" si="6"/>
        <v>Dial gauge</v>
      </c>
      <c r="J154" s="53" t="str">
        <f t="shared" si="7"/>
        <v>DG</v>
      </c>
      <c r="K154" s="53" t="str">
        <f t="shared" si="8"/>
        <v>千分表</v>
      </c>
      <c r="L154" s="53" t="s">
        <v>439</v>
      </c>
    </row>
    <row r="155" spans="1:12" ht="13.9">
      <c r="A155" s="77">
        <v>79</v>
      </c>
      <c r="B155" s="34" t="s">
        <v>666</v>
      </c>
      <c r="C155" s="34" t="s">
        <v>667</v>
      </c>
      <c r="D155" s="135" t="s">
        <v>668</v>
      </c>
      <c r="E155" s="53"/>
      <c r="F155" s="53" t="s">
        <v>353</v>
      </c>
      <c r="G155" s="78" t="str">
        <f t="shared" si="9"/>
        <v>Sichtprüfung</v>
      </c>
      <c r="H155" s="78" t="str">
        <f t="shared" si="5"/>
        <v>VC</v>
      </c>
      <c r="I155" s="78" t="str">
        <f t="shared" si="6"/>
        <v>Visual check</v>
      </c>
      <c r="J155" s="53" t="str">
        <f t="shared" si="7"/>
        <v>VC</v>
      </c>
      <c r="K155" s="53" t="str">
        <f t="shared" si="8"/>
        <v>目视</v>
      </c>
      <c r="L155" s="53" t="s">
        <v>443</v>
      </c>
    </row>
    <row r="156" spans="1:12" ht="13.9">
      <c r="A156" s="77">
        <v>80</v>
      </c>
      <c r="B156" s="34" t="s">
        <v>669</v>
      </c>
      <c r="C156" s="41" t="s">
        <v>670</v>
      </c>
      <c r="D156" s="135" t="s">
        <v>671</v>
      </c>
      <c r="E156" s="53"/>
      <c r="F156" s="53" t="s">
        <v>353</v>
      </c>
      <c r="G156" s="78" t="str">
        <f t="shared" si="9"/>
        <v>Sichtprüfung</v>
      </c>
      <c r="H156" s="78" t="str">
        <f t="shared" si="5"/>
        <v>VC</v>
      </c>
      <c r="I156" s="78" t="str">
        <f t="shared" si="6"/>
        <v>Visual check</v>
      </c>
      <c r="J156" s="53" t="str">
        <f t="shared" si="7"/>
        <v>VC</v>
      </c>
      <c r="K156" s="53" t="str">
        <f t="shared" si="8"/>
        <v>目视</v>
      </c>
      <c r="L156" s="53" t="s">
        <v>443</v>
      </c>
    </row>
    <row r="157" spans="1:12" ht="13.9">
      <c r="A157" s="77">
        <v>81</v>
      </c>
      <c r="B157" s="34" t="s">
        <v>672</v>
      </c>
      <c r="C157" s="34" t="s">
        <v>673</v>
      </c>
      <c r="D157" s="135" t="s">
        <v>674</v>
      </c>
      <c r="E157" s="53"/>
      <c r="F157" s="53" t="s">
        <v>353</v>
      </c>
      <c r="G157" s="78" t="str">
        <f t="shared" si="9"/>
        <v>Sichtprüfung</v>
      </c>
      <c r="H157" s="78" t="str">
        <f t="shared" si="5"/>
        <v>VC</v>
      </c>
      <c r="I157" s="78" t="str">
        <f t="shared" si="6"/>
        <v>Visual check</v>
      </c>
      <c r="J157" s="53" t="str">
        <f t="shared" si="7"/>
        <v>VC</v>
      </c>
      <c r="K157" s="53" t="str">
        <f t="shared" si="8"/>
        <v>目视</v>
      </c>
      <c r="L157" s="53" t="s">
        <v>443</v>
      </c>
    </row>
    <row r="158" spans="1:12" ht="13.9">
      <c r="A158" s="77">
        <v>82</v>
      </c>
      <c r="B158" s="34" t="s">
        <v>675</v>
      </c>
      <c r="C158" s="34" t="s">
        <v>676</v>
      </c>
      <c r="D158" s="135" t="s">
        <v>677</v>
      </c>
      <c r="E158" s="53"/>
      <c r="F158" s="53" t="s">
        <v>353</v>
      </c>
      <c r="G158" s="78" t="str">
        <f t="shared" si="9"/>
        <v>Sichtprüfung</v>
      </c>
      <c r="H158" s="78" t="str">
        <f t="shared" si="5"/>
        <v>VC</v>
      </c>
      <c r="I158" s="78" t="str">
        <f t="shared" si="6"/>
        <v>Visual check</v>
      </c>
      <c r="J158" s="53" t="str">
        <f t="shared" si="7"/>
        <v>VC</v>
      </c>
      <c r="K158" s="53" t="str">
        <f t="shared" si="8"/>
        <v>目视</v>
      </c>
      <c r="L158" s="53" t="s">
        <v>443</v>
      </c>
    </row>
    <row r="159" spans="1:12" ht="13.9">
      <c r="A159" s="77">
        <v>83</v>
      </c>
      <c r="B159" s="34" t="s">
        <v>678</v>
      </c>
      <c r="C159" s="41" t="s">
        <v>679</v>
      </c>
      <c r="D159" s="135" t="s">
        <v>680</v>
      </c>
      <c r="E159" s="53"/>
      <c r="F159" s="53" t="s">
        <v>369</v>
      </c>
      <c r="G159" s="78" t="str">
        <f t="shared" si="9"/>
        <v>Winkelmesser</v>
      </c>
      <c r="H159" s="78" t="str">
        <f t="shared" si="5"/>
        <v>AG</v>
      </c>
      <c r="I159" s="78" t="str">
        <f t="shared" si="6"/>
        <v>Angle gauge</v>
      </c>
      <c r="J159" s="53" t="str">
        <f t="shared" si="7"/>
        <v>AG</v>
      </c>
      <c r="K159" s="53" t="str">
        <f t="shared" si="8"/>
        <v>角度规</v>
      </c>
      <c r="L159" s="53" t="s">
        <v>439</v>
      </c>
    </row>
    <row r="160" spans="1:12" ht="13.9">
      <c r="A160" s="77">
        <v>84</v>
      </c>
      <c r="B160" s="79" t="s">
        <v>681</v>
      </c>
      <c r="C160" s="41" t="s">
        <v>682</v>
      </c>
      <c r="D160" s="135" t="s">
        <v>683</v>
      </c>
      <c r="E160" s="53"/>
      <c r="F160" s="53" t="s">
        <v>385</v>
      </c>
      <c r="G160" s="78" t="str">
        <f t="shared" si="9"/>
        <v xml:space="preserve">Zinkschichtdickenmessgerät  </v>
      </c>
      <c r="H160" s="78" t="str">
        <f t="shared" si="5"/>
        <v xml:space="preserve">ZCT </v>
      </c>
      <c r="I160" s="78" t="str">
        <f t="shared" si="6"/>
        <v>Zinc coating thickness measuring device</v>
      </c>
      <c r="J160" s="53" t="str">
        <f t="shared" si="7"/>
        <v xml:space="preserve">ZCT </v>
      </c>
      <c r="K160" s="53" t="str">
        <f t="shared" si="8"/>
        <v>锌厚仪</v>
      </c>
      <c r="L160" s="53" t="s">
        <v>439</v>
      </c>
    </row>
    <row r="161" spans="1:12" ht="13.9">
      <c r="A161" s="77">
        <v>85</v>
      </c>
      <c r="B161" s="79" t="s">
        <v>684</v>
      </c>
      <c r="C161" s="41" t="s">
        <v>685</v>
      </c>
      <c r="D161" s="135" t="s">
        <v>686</v>
      </c>
      <c r="E161" s="53"/>
      <c r="F161" s="53" t="s">
        <v>377</v>
      </c>
      <c r="G161" s="78" t="str">
        <f t="shared" si="9"/>
        <v>Zugmaschine</v>
      </c>
      <c r="H161" s="78" t="str">
        <f t="shared" si="5"/>
        <v>PM</v>
      </c>
      <c r="I161" s="78" t="str">
        <f t="shared" si="6"/>
        <v>Pulling machine</v>
      </c>
      <c r="J161" s="53" t="str">
        <f t="shared" si="7"/>
        <v>PM</v>
      </c>
      <c r="K161" s="53" t="str">
        <f t="shared" si="8"/>
        <v>拉拔仪</v>
      </c>
      <c r="L161" s="53" t="s">
        <v>439</v>
      </c>
    </row>
    <row r="162" spans="1:12" ht="13.9">
      <c r="A162" s="77">
        <v>86</v>
      </c>
      <c r="B162" s="34" t="s">
        <v>687</v>
      </c>
      <c r="C162" s="34" t="s">
        <v>688</v>
      </c>
      <c r="D162" s="135" t="s">
        <v>689</v>
      </c>
      <c r="E162" s="53"/>
      <c r="F162" s="53" t="s">
        <v>353</v>
      </c>
      <c r="G162" s="78" t="str">
        <f t="shared" si="9"/>
        <v>Sichtprüfung</v>
      </c>
      <c r="H162" s="78" t="str">
        <f t="shared" si="5"/>
        <v>VC</v>
      </c>
      <c r="I162" s="78" t="str">
        <f t="shared" si="6"/>
        <v>Visual check</v>
      </c>
      <c r="J162" s="53" t="str">
        <f t="shared" si="7"/>
        <v>VC</v>
      </c>
      <c r="K162" s="53" t="str">
        <f t="shared" si="8"/>
        <v>目视</v>
      </c>
      <c r="L162" s="53" t="s">
        <v>443</v>
      </c>
    </row>
    <row r="163" spans="1:12" ht="13.5">
      <c r="A163" s="77">
        <v>87</v>
      </c>
      <c r="B163" s="80"/>
      <c r="C163" s="80"/>
      <c r="D163" s="80"/>
      <c r="E163" s="81"/>
      <c r="F163" s="81"/>
      <c r="G163" s="78" t="e">
        <f t="shared" si="9"/>
        <v>#N/A</v>
      </c>
      <c r="H163" s="78" t="e">
        <f t="shared" si="5"/>
        <v>#N/A</v>
      </c>
      <c r="I163" s="78" t="e">
        <f t="shared" si="6"/>
        <v>#N/A</v>
      </c>
      <c r="J163" s="53" t="e">
        <f t="shared" si="7"/>
        <v>#N/A</v>
      </c>
      <c r="K163" s="53" t="e">
        <f t="shared" si="8"/>
        <v>#N/A</v>
      </c>
      <c r="L163" s="34"/>
    </row>
    <row r="164" spans="1:12" ht="13.5">
      <c r="A164" s="77">
        <v>88</v>
      </c>
      <c r="B164" s="80"/>
      <c r="C164" s="80"/>
      <c r="D164" s="80"/>
      <c r="E164" s="81"/>
      <c r="F164" s="81"/>
      <c r="G164" s="78" t="e">
        <f t="shared" si="9"/>
        <v>#N/A</v>
      </c>
      <c r="H164" s="78" t="e">
        <f t="shared" si="5"/>
        <v>#N/A</v>
      </c>
      <c r="I164" s="78" t="e">
        <f t="shared" si="6"/>
        <v>#N/A</v>
      </c>
      <c r="J164" s="53" t="e">
        <f t="shared" si="7"/>
        <v>#N/A</v>
      </c>
      <c r="K164" s="53" t="e">
        <f t="shared" si="8"/>
        <v>#N/A</v>
      </c>
      <c r="L164" s="34"/>
    </row>
    <row r="165" spans="1:12" ht="13.5">
      <c r="A165" s="77">
        <v>89</v>
      </c>
      <c r="B165" s="80"/>
      <c r="C165" s="80"/>
      <c r="D165" s="80"/>
      <c r="E165" s="81"/>
      <c r="F165" s="81"/>
      <c r="G165" s="78" t="e">
        <f t="shared" si="9"/>
        <v>#N/A</v>
      </c>
      <c r="H165" s="78" t="e">
        <f t="shared" si="5"/>
        <v>#N/A</v>
      </c>
      <c r="I165" s="78" t="e">
        <f t="shared" si="6"/>
        <v>#N/A</v>
      </c>
      <c r="J165" s="53" t="e">
        <f t="shared" si="7"/>
        <v>#N/A</v>
      </c>
      <c r="K165" s="53" t="e">
        <f t="shared" si="8"/>
        <v>#N/A</v>
      </c>
      <c r="L165" s="34"/>
    </row>
    <row r="166" spans="1:12" ht="13.5">
      <c r="A166" s="77">
        <v>90</v>
      </c>
      <c r="B166" s="80"/>
      <c r="C166" s="80"/>
      <c r="D166" s="80"/>
      <c r="E166" s="81"/>
      <c r="F166" s="81"/>
      <c r="G166" s="78" t="e">
        <f t="shared" si="9"/>
        <v>#N/A</v>
      </c>
      <c r="H166" s="78" t="e">
        <f t="shared" si="5"/>
        <v>#N/A</v>
      </c>
      <c r="I166" s="78" t="e">
        <f t="shared" si="6"/>
        <v>#N/A</v>
      </c>
      <c r="J166" s="53" t="e">
        <f t="shared" si="7"/>
        <v>#N/A</v>
      </c>
      <c r="K166" s="53" t="e">
        <f t="shared" si="8"/>
        <v>#N/A</v>
      </c>
      <c r="L166" s="34"/>
    </row>
    <row r="167" spans="1:12" ht="13.5">
      <c r="A167" s="77">
        <v>91</v>
      </c>
      <c r="B167" s="80"/>
      <c r="C167" s="80"/>
      <c r="D167" s="80"/>
      <c r="E167" s="81"/>
      <c r="F167" s="81"/>
      <c r="G167" s="78" t="e">
        <f t="shared" si="9"/>
        <v>#N/A</v>
      </c>
      <c r="H167" s="78" t="e">
        <f t="shared" si="5"/>
        <v>#N/A</v>
      </c>
      <c r="I167" s="78" t="e">
        <f t="shared" si="6"/>
        <v>#N/A</v>
      </c>
      <c r="J167" s="53" t="e">
        <f t="shared" si="7"/>
        <v>#N/A</v>
      </c>
      <c r="K167" s="53" t="e">
        <f t="shared" si="8"/>
        <v>#N/A</v>
      </c>
      <c r="L167" s="34"/>
    </row>
    <row r="168" spans="1:12" ht="13.5">
      <c r="A168" s="77">
        <v>92</v>
      </c>
      <c r="B168" s="80"/>
      <c r="C168" s="80"/>
      <c r="D168" s="80"/>
      <c r="E168" s="81"/>
      <c r="F168" s="81"/>
      <c r="G168" s="78" t="e">
        <f t="shared" si="9"/>
        <v>#N/A</v>
      </c>
      <c r="H168" s="78" t="e">
        <f t="shared" si="5"/>
        <v>#N/A</v>
      </c>
      <c r="I168" s="78" t="e">
        <f t="shared" si="6"/>
        <v>#N/A</v>
      </c>
      <c r="J168" s="53" t="e">
        <f t="shared" si="7"/>
        <v>#N/A</v>
      </c>
      <c r="K168" s="53" t="e">
        <f t="shared" si="8"/>
        <v>#N/A</v>
      </c>
      <c r="L168" s="34"/>
    </row>
    <row r="169" spans="1:12" ht="13.5">
      <c r="A169" s="77">
        <v>93</v>
      </c>
      <c r="B169" s="80"/>
      <c r="C169" s="80"/>
      <c r="D169" s="80"/>
      <c r="E169" s="81"/>
      <c r="F169" s="81"/>
      <c r="G169" s="78" t="e">
        <f t="shared" si="9"/>
        <v>#N/A</v>
      </c>
      <c r="H169" s="78" t="e">
        <f t="shared" si="5"/>
        <v>#N/A</v>
      </c>
      <c r="I169" s="78" t="e">
        <f t="shared" si="6"/>
        <v>#N/A</v>
      </c>
      <c r="J169" s="53" t="e">
        <f t="shared" si="7"/>
        <v>#N/A</v>
      </c>
      <c r="K169" s="53" t="e">
        <f t="shared" si="8"/>
        <v>#N/A</v>
      </c>
      <c r="L169" s="34"/>
    </row>
    <row r="170" spans="1:12" ht="13.5">
      <c r="A170" s="77">
        <v>94</v>
      </c>
      <c r="B170" s="80"/>
      <c r="C170" s="80"/>
      <c r="D170" s="80"/>
      <c r="E170" s="81"/>
      <c r="F170" s="81"/>
      <c r="G170" s="78" t="e">
        <f t="shared" si="9"/>
        <v>#N/A</v>
      </c>
      <c r="H170" s="78" t="e">
        <f t="shared" si="5"/>
        <v>#N/A</v>
      </c>
      <c r="I170" s="78" t="e">
        <f t="shared" si="6"/>
        <v>#N/A</v>
      </c>
      <c r="J170" s="53" t="e">
        <f t="shared" si="7"/>
        <v>#N/A</v>
      </c>
      <c r="K170" s="53" t="e">
        <f t="shared" si="8"/>
        <v>#N/A</v>
      </c>
      <c r="L170" s="34"/>
    </row>
    <row r="171" spans="1:12" ht="13.5">
      <c r="A171" s="77">
        <v>95</v>
      </c>
      <c r="B171" s="80"/>
      <c r="C171" s="80"/>
      <c r="D171" s="80"/>
      <c r="E171" s="81"/>
      <c r="F171" s="81"/>
      <c r="G171" s="78" t="e">
        <f t="shared" si="9"/>
        <v>#N/A</v>
      </c>
      <c r="H171" s="78" t="e">
        <f t="shared" si="5"/>
        <v>#N/A</v>
      </c>
      <c r="I171" s="78" t="e">
        <f t="shared" si="6"/>
        <v>#N/A</v>
      </c>
      <c r="J171" s="53" t="e">
        <f t="shared" si="7"/>
        <v>#N/A</v>
      </c>
      <c r="K171" s="53" t="e">
        <f t="shared" si="8"/>
        <v>#N/A</v>
      </c>
      <c r="L171" s="34"/>
    </row>
    <row r="172" spans="1:12" ht="13.5">
      <c r="A172" s="77">
        <v>96</v>
      </c>
      <c r="B172" s="80"/>
      <c r="C172" s="80"/>
      <c r="D172" s="80"/>
      <c r="E172" s="81"/>
      <c r="F172" s="81"/>
      <c r="G172" s="78" t="e">
        <f t="shared" si="9"/>
        <v>#N/A</v>
      </c>
      <c r="H172" s="78" t="e">
        <f t="shared" si="5"/>
        <v>#N/A</v>
      </c>
      <c r="I172" s="78" t="e">
        <f t="shared" si="6"/>
        <v>#N/A</v>
      </c>
      <c r="J172" s="53" t="e">
        <f t="shared" si="7"/>
        <v>#N/A</v>
      </c>
      <c r="K172" s="53" t="e">
        <f t="shared" si="8"/>
        <v>#N/A</v>
      </c>
      <c r="L172" s="34"/>
    </row>
    <row r="173" spans="1:12" ht="13.5">
      <c r="A173" s="77">
        <v>97</v>
      </c>
      <c r="B173" s="80"/>
      <c r="C173" s="80"/>
      <c r="D173" s="80"/>
      <c r="E173" s="81"/>
      <c r="F173" s="81"/>
      <c r="G173" s="78" t="e">
        <f t="shared" si="9"/>
        <v>#N/A</v>
      </c>
      <c r="H173" s="78" t="e">
        <f t="shared" si="5"/>
        <v>#N/A</v>
      </c>
      <c r="I173" s="78" t="e">
        <f t="shared" si="6"/>
        <v>#N/A</v>
      </c>
      <c r="J173" s="53" t="e">
        <f t="shared" si="7"/>
        <v>#N/A</v>
      </c>
      <c r="K173" s="53" t="e">
        <f t="shared" si="8"/>
        <v>#N/A</v>
      </c>
      <c r="L173" s="34"/>
    </row>
    <row r="174" spans="1:12" ht="13.5">
      <c r="A174" s="66"/>
      <c r="B174" s="34"/>
      <c r="C174" s="34"/>
      <c r="D174" s="53"/>
      <c r="E174" s="53"/>
      <c r="F174" s="53"/>
      <c r="G174" s="53"/>
      <c r="H174" s="53"/>
      <c r="I174" s="82"/>
      <c r="J174" s="34"/>
      <c r="K174" s="34"/>
    </row>
    <row r="175" spans="1:12" ht="13.5">
      <c r="A175" s="66"/>
      <c r="B175" s="34"/>
      <c r="C175" s="34"/>
      <c r="D175" s="53"/>
      <c r="E175" s="53"/>
      <c r="F175" s="53"/>
      <c r="G175" s="53"/>
      <c r="H175" s="53"/>
      <c r="I175" s="82"/>
      <c r="J175" s="34"/>
      <c r="K175" s="34"/>
    </row>
    <row r="176" spans="1:12" ht="13.9" thickBot="1">
      <c r="A176" s="66"/>
      <c r="B176" s="34"/>
      <c r="C176" s="34"/>
      <c r="D176" s="53"/>
      <c r="E176" s="53"/>
      <c r="F176" s="53"/>
      <c r="G176" s="53"/>
      <c r="H176" s="53"/>
      <c r="I176" s="82"/>
      <c r="J176" s="34"/>
      <c r="K176" s="34"/>
    </row>
    <row r="177" spans="1:11" ht="14.25" thickBot="1">
      <c r="A177" s="76"/>
      <c r="B177" s="37" t="s">
        <v>690</v>
      </c>
      <c r="C177" s="37" t="s">
        <v>691</v>
      </c>
      <c r="D177" s="53"/>
      <c r="E177" s="34"/>
      <c r="F177" s="83" t="s">
        <v>692</v>
      </c>
      <c r="G177" s="84" t="s">
        <v>693</v>
      </c>
      <c r="H177" s="85" t="s">
        <v>694</v>
      </c>
      <c r="I177" s="85" t="s">
        <v>142</v>
      </c>
      <c r="J177" s="85" t="s">
        <v>695</v>
      </c>
      <c r="K177" s="85" t="s">
        <v>142</v>
      </c>
    </row>
    <row r="178" spans="1:11" ht="13.9">
      <c r="A178" s="77">
        <v>83</v>
      </c>
      <c r="B178" s="41" t="s">
        <v>679</v>
      </c>
      <c r="C178" s="34" t="s">
        <v>678</v>
      </c>
      <c r="D178" s="135"/>
      <c r="E178" s="34"/>
      <c r="F178" s="86" t="s">
        <v>696</v>
      </c>
      <c r="G178" s="87" t="s">
        <v>697</v>
      </c>
      <c r="H178" s="88" t="s">
        <v>698</v>
      </c>
      <c r="I178" s="89">
        <v>40470</v>
      </c>
      <c r="J178" s="88"/>
      <c r="K178" s="89"/>
    </row>
    <row r="179" spans="1:11" ht="13.9">
      <c r="A179" s="77">
        <v>15</v>
      </c>
      <c r="B179" s="41" t="s">
        <v>481</v>
      </c>
      <c r="C179" s="34" t="s">
        <v>480</v>
      </c>
      <c r="D179" s="135"/>
      <c r="E179" s="34"/>
      <c r="F179" s="90" t="s">
        <v>699</v>
      </c>
      <c r="G179" s="87" t="s">
        <v>700</v>
      </c>
      <c r="H179" s="88" t="s">
        <v>701</v>
      </c>
      <c r="I179" s="89">
        <v>42515</v>
      </c>
      <c r="J179" s="88" t="s">
        <v>702</v>
      </c>
      <c r="K179" s="89">
        <v>42515</v>
      </c>
    </row>
    <row r="180" spans="1:11" ht="13.9">
      <c r="A180" s="77">
        <v>14</v>
      </c>
      <c r="B180" s="41" t="s">
        <v>478</v>
      </c>
      <c r="C180" s="34" t="s">
        <v>477</v>
      </c>
      <c r="D180" s="135"/>
      <c r="E180" s="34"/>
      <c r="F180" s="90" t="s">
        <v>703</v>
      </c>
      <c r="G180" s="87" t="s">
        <v>704</v>
      </c>
      <c r="H180" s="88" t="s">
        <v>701</v>
      </c>
      <c r="I180" s="89">
        <v>42592</v>
      </c>
      <c r="J180" s="88" t="s">
        <v>705</v>
      </c>
      <c r="K180" s="89">
        <v>42592</v>
      </c>
    </row>
    <row r="181" spans="1:11" ht="13.9">
      <c r="A181" s="77">
        <v>3</v>
      </c>
      <c r="B181" s="34" t="s">
        <v>445</v>
      </c>
      <c r="C181" s="34" t="s">
        <v>444</v>
      </c>
      <c r="D181" s="135"/>
      <c r="E181" s="34"/>
      <c r="F181" s="90" t="s">
        <v>706</v>
      </c>
      <c r="G181" s="87" t="s">
        <v>707</v>
      </c>
      <c r="H181" s="88" t="s">
        <v>701</v>
      </c>
      <c r="I181" s="89">
        <v>42873</v>
      </c>
      <c r="J181" s="88" t="s">
        <v>708</v>
      </c>
      <c r="K181" s="89">
        <v>42873</v>
      </c>
    </row>
    <row r="182" spans="1:11" ht="13.9">
      <c r="A182" s="77">
        <v>86</v>
      </c>
      <c r="B182" s="34" t="s">
        <v>688</v>
      </c>
      <c r="C182" s="34" t="s">
        <v>687</v>
      </c>
      <c r="D182" s="135"/>
      <c r="E182" s="34"/>
      <c r="F182" s="90" t="s">
        <v>709</v>
      </c>
      <c r="G182" s="87" t="s">
        <v>710</v>
      </c>
      <c r="H182" s="88" t="s">
        <v>701</v>
      </c>
      <c r="I182" s="89">
        <v>42933</v>
      </c>
      <c r="J182" s="88" t="s">
        <v>702</v>
      </c>
      <c r="K182" s="89">
        <v>42933</v>
      </c>
    </row>
    <row r="183" spans="1:11" ht="13.9">
      <c r="A183" s="77">
        <v>9</v>
      </c>
      <c r="B183" s="41" t="s">
        <v>463</v>
      </c>
      <c r="C183" s="34" t="s">
        <v>462</v>
      </c>
      <c r="D183" s="135"/>
      <c r="E183" s="34"/>
      <c r="F183" s="90" t="s">
        <v>711</v>
      </c>
      <c r="G183" s="87" t="s">
        <v>712</v>
      </c>
      <c r="H183" s="88" t="s">
        <v>701</v>
      </c>
      <c r="I183" s="89">
        <v>43311</v>
      </c>
      <c r="J183" s="88" t="s">
        <v>702</v>
      </c>
      <c r="K183" s="89">
        <v>43311</v>
      </c>
    </row>
    <row r="184" spans="1:11" ht="13.9">
      <c r="A184" s="77">
        <v>5</v>
      </c>
      <c r="B184" s="41" t="s">
        <v>451</v>
      </c>
      <c r="C184" s="34" t="s">
        <v>450</v>
      </c>
      <c r="D184" s="135"/>
      <c r="E184" s="34"/>
      <c r="F184" s="90" t="s">
        <v>713</v>
      </c>
      <c r="G184" s="87" t="s">
        <v>714</v>
      </c>
      <c r="H184" s="88" t="s">
        <v>715</v>
      </c>
      <c r="I184" s="89">
        <v>44308</v>
      </c>
      <c r="J184" s="88" t="s">
        <v>708</v>
      </c>
      <c r="K184" s="89">
        <v>44308</v>
      </c>
    </row>
    <row r="185" spans="1:11" ht="13.9">
      <c r="A185" s="77">
        <v>13</v>
      </c>
      <c r="B185" s="34" t="s">
        <v>475</v>
      </c>
      <c r="C185" s="34" t="s">
        <v>474</v>
      </c>
      <c r="D185" s="135"/>
      <c r="E185" s="34"/>
      <c r="F185" s="90" t="s">
        <v>716</v>
      </c>
      <c r="G185" s="87" t="s">
        <v>717</v>
      </c>
      <c r="H185" s="88" t="s">
        <v>715</v>
      </c>
      <c r="I185" s="89"/>
      <c r="J185" s="88"/>
      <c r="K185" s="89"/>
    </row>
    <row r="186" spans="1:11" ht="13.9">
      <c r="A186" s="77">
        <v>27</v>
      </c>
      <c r="B186" s="41" t="s">
        <v>517</v>
      </c>
      <c r="C186" s="34" t="s">
        <v>516</v>
      </c>
      <c r="D186" s="135"/>
      <c r="E186" s="34"/>
      <c r="F186" s="53"/>
      <c r="G186" s="53"/>
      <c r="H186" s="53"/>
      <c r="I186" s="53"/>
      <c r="J186" s="34"/>
      <c r="K186" s="34"/>
    </row>
    <row r="187" spans="1:11" ht="13.9">
      <c r="A187" s="77">
        <v>45</v>
      </c>
      <c r="B187" s="41" t="s">
        <v>570</v>
      </c>
      <c r="C187" s="34" t="s">
        <v>569</v>
      </c>
      <c r="D187" s="135"/>
      <c r="E187" s="34"/>
      <c r="F187" s="53"/>
      <c r="G187" s="53"/>
      <c r="H187" s="53"/>
      <c r="I187" s="53"/>
      <c r="J187" s="34"/>
      <c r="K187" s="34"/>
    </row>
    <row r="188" spans="1:11" ht="13.9">
      <c r="A188" s="77">
        <v>72</v>
      </c>
      <c r="B188" s="41" t="s">
        <v>646</v>
      </c>
      <c r="C188" s="34" t="s">
        <v>645</v>
      </c>
      <c r="D188" s="135"/>
      <c r="E188" s="34"/>
      <c r="F188" s="53"/>
      <c r="G188" s="53"/>
      <c r="H188" s="53"/>
      <c r="I188" s="53"/>
      <c r="J188" s="34"/>
      <c r="K188" s="34"/>
    </row>
    <row r="189" spans="1:11" ht="13.9">
      <c r="A189" s="77">
        <v>41</v>
      </c>
      <c r="B189" s="41" t="s">
        <v>558</v>
      </c>
      <c r="C189" s="79" t="s">
        <v>557</v>
      </c>
      <c r="D189" s="135"/>
      <c r="E189" s="34"/>
      <c r="F189" s="53"/>
      <c r="G189" s="53"/>
      <c r="H189" s="53"/>
      <c r="I189" s="53"/>
      <c r="J189" s="34"/>
      <c r="K189" s="34"/>
    </row>
    <row r="190" spans="1:11" ht="13.9">
      <c r="A190" s="77">
        <v>26</v>
      </c>
      <c r="B190" s="41" t="s">
        <v>514</v>
      </c>
      <c r="C190" s="34" t="s">
        <v>513</v>
      </c>
      <c r="D190" s="135"/>
      <c r="E190" s="34"/>
      <c r="F190" s="53"/>
      <c r="G190" s="53"/>
      <c r="H190" s="53"/>
      <c r="I190" s="53"/>
      <c r="J190" s="34"/>
      <c r="K190" s="34"/>
    </row>
    <row r="191" spans="1:11" ht="13.9">
      <c r="A191" s="77">
        <v>82</v>
      </c>
      <c r="B191" s="34" t="s">
        <v>676</v>
      </c>
      <c r="C191" s="34" t="s">
        <v>675</v>
      </c>
      <c r="D191" s="135"/>
      <c r="E191" s="34"/>
      <c r="F191" s="53"/>
      <c r="G191" s="53"/>
      <c r="H191" s="53"/>
      <c r="I191" s="53"/>
      <c r="J191" s="34"/>
      <c r="K191" s="34"/>
    </row>
    <row r="192" spans="1:11" ht="13.9">
      <c r="A192" s="77">
        <v>42</v>
      </c>
      <c r="B192" s="41" t="s">
        <v>561</v>
      </c>
      <c r="C192" s="79" t="s">
        <v>560</v>
      </c>
      <c r="D192" s="135"/>
      <c r="E192" s="34"/>
      <c r="F192" s="53"/>
      <c r="G192" s="53"/>
      <c r="H192" s="53"/>
      <c r="I192" s="53"/>
      <c r="J192" s="34"/>
      <c r="K192" s="34"/>
    </row>
    <row r="193" spans="1:11" ht="13.9">
      <c r="A193" s="77">
        <v>80</v>
      </c>
      <c r="B193" s="41" t="s">
        <v>670</v>
      </c>
      <c r="C193" s="34" t="s">
        <v>669</v>
      </c>
      <c r="D193" s="135"/>
      <c r="E193" s="34"/>
      <c r="F193" s="53"/>
      <c r="G193" s="53"/>
      <c r="H193" s="53"/>
      <c r="I193" s="53"/>
      <c r="J193" s="34"/>
      <c r="K193" s="34"/>
    </row>
    <row r="194" spans="1:11" ht="13.9">
      <c r="A194" s="77">
        <v>8</v>
      </c>
      <c r="B194" s="41" t="s">
        <v>460</v>
      </c>
      <c r="C194" s="34" t="s">
        <v>459</v>
      </c>
      <c r="D194" s="135"/>
      <c r="E194" s="34"/>
      <c r="F194" s="53"/>
      <c r="G194" s="53"/>
      <c r="H194" s="53"/>
      <c r="I194" s="53"/>
      <c r="J194" s="34"/>
      <c r="K194" s="34"/>
    </row>
    <row r="195" spans="1:11" ht="13.9">
      <c r="A195" s="77">
        <v>71</v>
      </c>
      <c r="B195" s="41" t="s">
        <v>643</v>
      </c>
      <c r="C195" s="34" t="s">
        <v>642</v>
      </c>
      <c r="D195" s="135"/>
      <c r="E195" s="34"/>
      <c r="F195" s="53"/>
      <c r="G195" s="53"/>
      <c r="H195" s="53"/>
      <c r="I195" s="53"/>
      <c r="J195" s="34"/>
      <c r="K195" s="34"/>
    </row>
    <row r="196" spans="1:11" ht="13.9">
      <c r="A196" s="77">
        <v>76</v>
      </c>
      <c r="B196" s="41" t="s">
        <v>658</v>
      </c>
      <c r="C196" s="79" t="s">
        <v>657</v>
      </c>
      <c r="D196" s="135"/>
      <c r="E196" s="34"/>
      <c r="F196" s="53"/>
      <c r="G196" s="53"/>
      <c r="H196" s="53"/>
      <c r="I196" s="53"/>
      <c r="J196" s="34"/>
      <c r="K196" s="34"/>
    </row>
    <row r="197" spans="1:11" ht="13.9">
      <c r="A197" s="77">
        <v>16</v>
      </c>
      <c r="B197" s="41" t="s">
        <v>484</v>
      </c>
      <c r="C197" s="79" t="s">
        <v>483</v>
      </c>
      <c r="D197" s="135"/>
      <c r="E197" s="34"/>
      <c r="F197" s="53"/>
      <c r="G197" s="53"/>
      <c r="H197" s="53"/>
      <c r="I197" s="53"/>
      <c r="J197" s="34"/>
      <c r="K197" s="34"/>
    </row>
    <row r="198" spans="1:11" ht="13.9">
      <c r="A198" s="77">
        <v>18</v>
      </c>
      <c r="B198" s="34" t="s">
        <v>490</v>
      </c>
      <c r="C198" s="34" t="s">
        <v>718</v>
      </c>
      <c r="D198" s="135"/>
      <c r="E198" s="34"/>
      <c r="F198" s="53"/>
      <c r="G198" s="53"/>
      <c r="H198" s="53"/>
      <c r="I198" s="53"/>
      <c r="J198" s="34"/>
      <c r="K198" s="34"/>
    </row>
    <row r="199" spans="1:11" ht="13.9">
      <c r="A199" s="77">
        <v>12</v>
      </c>
      <c r="B199" s="41" t="s">
        <v>472</v>
      </c>
      <c r="C199" s="34" t="s">
        <v>471</v>
      </c>
      <c r="D199" s="135"/>
      <c r="E199" s="34"/>
      <c r="F199" s="53"/>
      <c r="G199" s="53"/>
      <c r="H199" s="53"/>
      <c r="I199" s="53"/>
      <c r="J199" s="34"/>
      <c r="K199" s="34"/>
    </row>
    <row r="200" spans="1:11" ht="13.9">
      <c r="A200" s="77">
        <v>20</v>
      </c>
      <c r="B200" s="41" t="s">
        <v>496</v>
      </c>
      <c r="C200" s="34" t="s">
        <v>495</v>
      </c>
      <c r="D200" s="135"/>
      <c r="E200" s="34"/>
      <c r="F200" s="53"/>
      <c r="G200" s="53"/>
      <c r="H200" s="53"/>
      <c r="I200" s="53"/>
      <c r="J200" s="34"/>
      <c r="K200" s="34"/>
    </row>
    <row r="201" spans="1:11" ht="13.5">
      <c r="A201" s="77">
        <v>40</v>
      </c>
      <c r="B201" s="41" t="s">
        <v>555</v>
      </c>
      <c r="C201" s="34" t="s">
        <v>554</v>
      </c>
      <c r="D201" s="53"/>
      <c r="E201" s="34"/>
      <c r="F201" s="53"/>
      <c r="G201" s="53"/>
      <c r="H201" s="53"/>
      <c r="I201" s="53"/>
      <c r="J201" s="34"/>
      <c r="K201" s="34"/>
    </row>
    <row r="202" spans="1:11" ht="13.9">
      <c r="A202" s="77">
        <v>58</v>
      </c>
      <c r="B202" s="41" t="s">
        <v>607</v>
      </c>
      <c r="C202" s="79" t="s">
        <v>606</v>
      </c>
      <c r="D202" s="135"/>
      <c r="E202" s="34"/>
      <c r="F202" s="53"/>
      <c r="G202" s="53"/>
      <c r="H202" s="53"/>
      <c r="I202" s="53"/>
      <c r="J202" s="34"/>
      <c r="K202" s="34"/>
    </row>
    <row r="203" spans="1:11" ht="13.9">
      <c r="A203" s="77">
        <v>25</v>
      </c>
      <c r="B203" s="41" t="s">
        <v>719</v>
      </c>
      <c r="C203" s="34" t="s">
        <v>510</v>
      </c>
      <c r="D203" s="135"/>
      <c r="E203" s="34"/>
      <c r="F203" s="53"/>
      <c r="G203" s="53"/>
      <c r="H203" s="53"/>
      <c r="I203" s="53"/>
      <c r="J203" s="34"/>
      <c r="K203" s="34"/>
    </row>
    <row r="204" spans="1:11" ht="13.9">
      <c r="A204" s="77">
        <v>21</v>
      </c>
      <c r="B204" s="41" t="s">
        <v>499</v>
      </c>
      <c r="C204" s="34" t="s">
        <v>498</v>
      </c>
      <c r="D204" s="135"/>
      <c r="E204" s="34"/>
      <c r="F204" s="53"/>
      <c r="G204" s="53"/>
      <c r="H204" s="53"/>
      <c r="I204" s="53"/>
      <c r="J204" s="34"/>
      <c r="K204" s="34"/>
    </row>
    <row r="205" spans="1:11" ht="13.9">
      <c r="A205" s="77">
        <v>7</v>
      </c>
      <c r="B205" s="41" t="s">
        <v>457</v>
      </c>
      <c r="C205" s="79" t="s">
        <v>456</v>
      </c>
      <c r="D205" s="135"/>
      <c r="E205" s="34"/>
      <c r="F205" s="53"/>
      <c r="G205" s="53"/>
      <c r="H205" s="53"/>
      <c r="I205" s="53"/>
      <c r="J205" s="34"/>
      <c r="K205" s="34"/>
    </row>
    <row r="206" spans="1:11" ht="13.9">
      <c r="A206" s="77">
        <v>74</v>
      </c>
      <c r="B206" s="34" t="s">
        <v>720</v>
      </c>
      <c r="C206" s="34" t="s">
        <v>651</v>
      </c>
      <c r="D206" s="135"/>
      <c r="E206" s="34"/>
      <c r="F206" s="53"/>
      <c r="G206" s="53"/>
      <c r="H206" s="53"/>
      <c r="I206" s="53"/>
      <c r="J206" s="34"/>
      <c r="K206" s="34"/>
    </row>
    <row r="207" spans="1:11" ht="13.5">
      <c r="A207" s="77">
        <v>29</v>
      </c>
      <c r="B207" s="41" t="s">
        <v>522</v>
      </c>
      <c r="C207" s="34" t="s">
        <v>202</v>
      </c>
      <c r="D207" s="53"/>
      <c r="E207" s="34"/>
      <c r="F207" s="53"/>
      <c r="G207" s="53"/>
      <c r="H207" s="53"/>
      <c r="I207" s="53"/>
      <c r="J207" s="34"/>
      <c r="K207" s="34"/>
    </row>
    <row r="208" spans="1:11" ht="13.9">
      <c r="A208" s="77">
        <v>23</v>
      </c>
      <c r="B208" s="41" t="s">
        <v>505</v>
      </c>
      <c r="C208" s="34" t="s">
        <v>504</v>
      </c>
      <c r="D208" s="135"/>
      <c r="E208" s="34"/>
      <c r="F208" s="53"/>
      <c r="G208" s="53"/>
      <c r="H208" s="53"/>
      <c r="I208" s="53"/>
      <c r="J208" s="34"/>
      <c r="K208" s="34"/>
    </row>
    <row r="209" spans="1:11" ht="13.9">
      <c r="A209" s="77">
        <v>37</v>
      </c>
      <c r="B209" s="41" t="s">
        <v>546</v>
      </c>
      <c r="C209" s="34" t="s">
        <v>545</v>
      </c>
      <c r="D209" s="135"/>
      <c r="E209" s="34"/>
      <c r="F209" s="53"/>
      <c r="G209" s="53"/>
      <c r="H209" s="53"/>
      <c r="I209" s="53"/>
      <c r="J209" s="34"/>
      <c r="K209" s="34"/>
    </row>
    <row r="210" spans="1:11" ht="13.9">
      <c r="A210" s="77">
        <v>38</v>
      </c>
      <c r="B210" s="41" t="s">
        <v>549</v>
      </c>
      <c r="C210" s="79" t="s">
        <v>548</v>
      </c>
      <c r="D210" s="135"/>
      <c r="E210" s="34"/>
      <c r="F210" s="53"/>
      <c r="G210" s="53"/>
      <c r="H210" s="53"/>
      <c r="I210" s="53"/>
      <c r="J210" s="34"/>
      <c r="K210" s="34"/>
    </row>
    <row r="211" spans="1:11" ht="13.9">
      <c r="A211" s="77">
        <v>19</v>
      </c>
      <c r="B211" s="41" t="s">
        <v>493</v>
      </c>
      <c r="C211" s="34" t="s">
        <v>492</v>
      </c>
      <c r="D211" s="135"/>
      <c r="E211" s="34"/>
      <c r="F211" s="53"/>
      <c r="G211" s="53"/>
      <c r="H211" s="53"/>
      <c r="I211" s="53"/>
      <c r="J211" s="34"/>
      <c r="K211" s="34"/>
    </row>
    <row r="212" spans="1:11" ht="13.9">
      <c r="A212" s="77">
        <v>39</v>
      </c>
      <c r="B212" s="41" t="s">
        <v>552</v>
      </c>
      <c r="C212" s="34" t="s">
        <v>551</v>
      </c>
      <c r="D212" s="135"/>
      <c r="E212" s="34"/>
      <c r="F212" s="53"/>
      <c r="G212" s="53"/>
      <c r="H212" s="53"/>
      <c r="I212" s="53"/>
      <c r="J212" s="34"/>
      <c r="K212" s="34"/>
    </row>
    <row r="213" spans="1:11" ht="13.9">
      <c r="A213" s="77">
        <v>2</v>
      </c>
      <c r="B213" s="41" t="s">
        <v>441</v>
      </c>
      <c r="C213" s="34" t="s">
        <v>440</v>
      </c>
      <c r="D213" s="135"/>
      <c r="E213" s="34"/>
      <c r="F213" s="53"/>
      <c r="G213" s="53"/>
      <c r="H213" s="53"/>
      <c r="I213" s="53"/>
      <c r="J213" s="34"/>
      <c r="K213" s="34"/>
    </row>
    <row r="214" spans="1:11" ht="13.9">
      <c r="A214" s="77">
        <v>4</v>
      </c>
      <c r="B214" s="41" t="s">
        <v>721</v>
      </c>
      <c r="C214" s="34" t="s">
        <v>722</v>
      </c>
      <c r="D214" s="135"/>
      <c r="E214" s="34"/>
      <c r="F214" s="53"/>
      <c r="G214" s="53"/>
      <c r="H214" s="53"/>
      <c r="I214" s="53"/>
      <c r="J214" s="34"/>
      <c r="K214" s="34"/>
    </row>
    <row r="215" spans="1:11" ht="13.5">
      <c r="A215" s="77">
        <v>24</v>
      </c>
      <c r="B215" s="41" t="s">
        <v>508</v>
      </c>
      <c r="C215" s="34" t="s">
        <v>507</v>
      </c>
      <c r="D215" s="140"/>
      <c r="E215" s="34"/>
      <c r="F215" s="53"/>
      <c r="G215" s="53"/>
      <c r="H215" s="53"/>
      <c r="I215" s="53"/>
      <c r="J215" s="34"/>
      <c r="K215" s="34"/>
    </row>
    <row r="216" spans="1:11" ht="13.9">
      <c r="A216" s="77">
        <v>43</v>
      </c>
      <c r="B216" s="41" t="s">
        <v>564</v>
      </c>
      <c r="C216" s="34" t="s">
        <v>563</v>
      </c>
      <c r="D216" s="135"/>
      <c r="E216" s="34"/>
      <c r="F216" s="53"/>
      <c r="G216" s="53"/>
      <c r="H216" s="53"/>
      <c r="I216" s="53"/>
      <c r="J216" s="34"/>
      <c r="K216" s="34"/>
    </row>
    <row r="217" spans="1:11" ht="13.5">
      <c r="A217" s="77">
        <v>44</v>
      </c>
      <c r="B217" s="41" t="s">
        <v>567</v>
      </c>
      <c r="C217" s="34" t="s">
        <v>566</v>
      </c>
      <c r="D217" s="53"/>
      <c r="E217" s="34"/>
      <c r="F217" s="53"/>
      <c r="G217" s="53"/>
      <c r="H217" s="53"/>
      <c r="I217" s="53"/>
      <c r="J217" s="34"/>
      <c r="K217" s="34"/>
    </row>
    <row r="218" spans="1:11" ht="13.9">
      <c r="A218" s="77">
        <v>48</v>
      </c>
      <c r="B218" s="41" t="s">
        <v>359</v>
      </c>
      <c r="C218" s="34" t="s">
        <v>578</v>
      </c>
      <c r="D218" s="135"/>
      <c r="E218" s="34"/>
      <c r="F218" s="53"/>
      <c r="G218" s="53"/>
      <c r="H218" s="53"/>
      <c r="I218" s="53"/>
      <c r="J218" s="34"/>
      <c r="K218" s="34"/>
    </row>
    <row r="219" spans="1:11" ht="13.9">
      <c r="A219" s="77">
        <v>49</v>
      </c>
      <c r="B219" s="34" t="s">
        <v>581</v>
      </c>
      <c r="C219" s="34" t="s">
        <v>580</v>
      </c>
      <c r="D219" s="135"/>
      <c r="E219" s="34"/>
      <c r="F219" s="53"/>
      <c r="G219" s="53"/>
      <c r="H219" s="53"/>
      <c r="I219" s="53"/>
      <c r="J219" s="34"/>
      <c r="K219" s="34"/>
    </row>
    <row r="220" spans="1:11" ht="13.9">
      <c r="A220" s="77">
        <v>50</v>
      </c>
      <c r="B220" s="41" t="s">
        <v>584</v>
      </c>
      <c r="C220" s="34" t="s">
        <v>583</v>
      </c>
      <c r="D220" s="135"/>
      <c r="E220" s="34"/>
      <c r="F220" s="53"/>
      <c r="G220" s="53"/>
      <c r="H220" s="53"/>
      <c r="I220" s="53"/>
      <c r="J220" s="34"/>
      <c r="K220" s="34"/>
    </row>
    <row r="221" spans="1:11" ht="13.9">
      <c r="A221" s="77">
        <v>17</v>
      </c>
      <c r="B221" s="41" t="s">
        <v>487</v>
      </c>
      <c r="C221" s="34" t="s">
        <v>723</v>
      </c>
      <c r="D221" s="135"/>
      <c r="E221" s="34"/>
      <c r="F221" s="53"/>
      <c r="G221" s="53"/>
      <c r="H221" s="53"/>
      <c r="I221" s="53"/>
      <c r="J221" s="34"/>
      <c r="K221" s="34"/>
    </row>
    <row r="222" spans="1:11" ht="13.9">
      <c r="A222" s="77">
        <v>79</v>
      </c>
      <c r="B222" s="34" t="s">
        <v>667</v>
      </c>
      <c r="C222" s="34" t="s">
        <v>666</v>
      </c>
      <c r="D222" s="135"/>
      <c r="E222" s="34"/>
      <c r="F222" s="53"/>
      <c r="G222" s="53"/>
      <c r="H222" s="53"/>
      <c r="I222" s="53"/>
      <c r="J222" s="34"/>
      <c r="K222" s="34"/>
    </row>
    <row r="223" spans="1:11" ht="13.9">
      <c r="A223" s="77">
        <v>51</v>
      </c>
      <c r="B223" s="41" t="s">
        <v>587</v>
      </c>
      <c r="C223" s="34" t="s">
        <v>586</v>
      </c>
      <c r="D223" s="135"/>
      <c r="E223" s="34"/>
      <c r="F223" s="53"/>
      <c r="G223" s="53"/>
      <c r="H223" s="53"/>
      <c r="I223" s="53"/>
      <c r="J223" s="34"/>
      <c r="K223" s="34"/>
    </row>
    <row r="224" spans="1:11" ht="13.9">
      <c r="A224" s="77">
        <v>52</v>
      </c>
      <c r="B224" s="41" t="s">
        <v>590</v>
      </c>
      <c r="C224" s="34" t="s">
        <v>589</v>
      </c>
      <c r="D224" s="135"/>
      <c r="E224" s="34"/>
      <c r="F224" s="53"/>
      <c r="G224" s="53"/>
      <c r="H224" s="53"/>
      <c r="I224" s="53"/>
      <c r="J224" s="34"/>
      <c r="K224" s="34"/>
    </row>
    <row r="225" spans="1:11" ht="13.9">
      <c r="A225" s="77">
        <v>63</v>
      </c>
      <c r="B225" s="41" t="s">
        <v>621</v>
      </c>
      <c r="C225" s="34" t="s">
        <v>620</v>
      </c>
      <c r="D225" s="135"/>
      <c r="E225" s="34"/>
      <c r="F225" s="53"/>
      <c r="G225" s="53"/>
      <c r="H225" s="53"/>
      <c r="I225" s="53"/>
      <c r="J225" s="34"/>
      <c r="K225" s="34"/>
    </row>
    <row r="226" spans="1:11" ht="13.9">
      <c r="A226" s="77">
        <v>54</v>
      </c>
      <c r="B226" s="41" t="s">
        <v>596</v>
      </c>
      <c r="C226" s="34" t="s">
        <v>595</v>
      </c>
      <c r="D226" s="135"/>
      <c r="E226" s="34"/>
      <c r="F226" s="53"/>
      <c r="G226" s="53"/>
      <c r="H226" s="53"/>
      <c r="I226" s="53"/>
      <c r="J226" s="34"/>
      <c r="K226" s="34"/>
    </row>
    <row r="227" spans="1:11" ht="13.9">
      <c r="A227" s="77">
        <v>53</v>
      </c>
      <c r="B227" s="41" t="s">
        <v>593</v>
      </c>
      <c r="C227" s="34" t="s">
        <v>592</v>
      </c>
      <c r="D227" s="135"/>
      <c r="E227" s="34"/>
      <c r="F227" s="53"/>
      <c r="G227" s="53"/>
      <c r="H227" s="53"/>
      <c r="I227" s="53"/>
      <c r="J227" s="34"/>
      <c r="K227" s="34"/>
    </row>
    <row r="228" spans="1:11" ht="13.9">
      <c r="A228" s="77">
        <v>1</v>
      </c>
      <c r="B228" s="41" t="s">
        <v>437</v>
      </c>
      <c r="C228" s="34" t="s">
        <v>436</v>
      </c>
      <c r="D228" s="135"/>
      <c r="E228" s="34"/>
      <c r="F228" s="53"/>
      <c r="G228" s="53"/>
      <c r="H228" s="53"/>
      <c r="I228" s="53"/>
      <c r="J228" s="34"/>
      <c r="K228" s="34"/>
    </row>
    <row r="229" spans="1:11" ht="13.9">
      <c r="A229" s="77">
        <v>55</v>
      </c>
      <c r="B229" s="34" t="s">
        <v>598</v>
      </c>
      <c r="C229" s="34" t="s">
        <v>598</v>
      </c>
      <c r="D229" s="135"/>
      <c r="E229" s="34"/>
      <c r="F229" s="53"/>
      <c r="G229" s="53"/>
      <c r="H229" s="53"/>
      <c r="I229" s="53"/>
      <c r="J229" s="34"/>
      <c r="K229" s="34"/>
    </row>
    <row r="230" spans="1:11" ht="13.9">
      <c r="A230" s="77">
        <v>57</v>
      </c>
      <c r="B230" s="41" t="s">
        <v>604</v>
      </c>
      <c r="C230" s="34" t="s">
        <v>603</v>
      </c>
      <c r="D230" s="135"/>
      <c r="E230" s="34"/>
      <c r="F230" s="53"/>
      <c r="G230" s="53"/>
      <c r="H230" s="53"/>
      <c r="I230" s="53"/>
      <c r="J230" s="34"/>
      <c r="K230" s="34"/>
    </row>
    <row r="231" spans="1:11" ht="13.9">
      <c r="A231" s="77">
        <v>56</v>
      </c>
      <c r="B231" s="41" t="s">
        <v>601</v>
      </c>
      <c r="C231" s="34" t="s">
        <v>600</v>
      </c>
      <c r="D231" s="135"/>
      <c r="E231" s="34"/>
      <c r="F231" s="53"/>
      <c r="G231" s="53"/>
      <c r="H231" s="53"/>
      <c r="I231" s="53"/>
      <c r="J231" s="34"/>
      <c r="K231" s="34"/>
    </row>
    <row r="232" spans="1:11" ht="13.9">
      <c r="A232" s="77">
        <v>59</v>
      </c>
      <c r="B232" s="41" t="s">
        <v>610</v>
      </c>
      <c r="C232" s="34" t="s">
        <v>609</v>
      </c>
      <c r="D232" s="135"/>
      <c r="E232" s="34"/>
      <c r="F232" s="53"/>
      <c r="G232" s="53"/>
      <c r="H232" s="53"/>
      <c r="I232" s="53"/>
      <c r="J232" s="34"/>
      <c r="K232" s="34"/>
    </row>
    <row r="233" spans="1:11" ht="13.9">
      <c r="A233" s="77">
        <v>60</v>
      </c>
      <c r="B233" s="41" t="s">
        <v>613</v>
      </c>
      <c r="C233" s="79" t="s">
        <v>612</v>
      </c>
      <c r="D233" s="135"/>
      <c r="E233" s="34"/>
      <c r="F233" s="53"/>
      <c r="G233" s="53"/>
      <c r="H233" s="53"/>
      <c r="I233" s="53"/>
      <c r="J233" s="34"/>
      <c r="K233" s="34"/>
    </row>
    <row r="234" spans="1:11" ht="13.9">
      <c r="A234" s="77">
        <v>47</v>
      </c>
      <c r="B234" s="41" t="s">
        <v>576</v>
      </c>
      <c r="C234" s="34" t="s">
        <v>575</v>
      </c>
      <c r="D234" s="135"/>
      <c r="E234" s="34"/>
      <c r="F234" s="53"/>
      <c r="G234" s="53"/>
      <c r="H234" s="53"/>
      <c r="I234" s="53"/>
      <c r="J234" s="34"/>
      <c r="K234" s="34"/>
    </row>
    <row r="235" spans="1:11" ht="13.9">
      <c r="A235" s="77">
        <v>61</v>
      </c>
      <c r="B235" s="41" t="s">
        <v>615</v>
      </c>
      <c r="C235" s="79" t="s">
        <v>615</v>
      </c>
      <c r="D235" s="135"/>
      <c r="E235" s="34"/>
      <c r="F235" s="53"/>
      <c r="G235" s="53"/>
      <c r="H235" s="53"/>
      <c r="I235" s="53"/>
      <c r="J235" s="34"/>
      <c r="K235" s="34"/>
    </row>
    <row r="236" spans="1:11" ht="13.9">
      <c r="A236" s="77">
        <v>64</v>
      </c>
      <c r="B236" s="41" t="s">
        <v>624</v>
      </c>
      <c r="C236" s="34" t="s">
        <v>623</v>
      </c>
      <c r="D236" s="135"/>
      <c r="E236" s="34"/>
      <c r="F236" s="53"/>
      <c r="G236" s="53"/>
      <c r="H236" s="53"/>
      <c r="I236" s="53"/>
      <c r="J236" s="34"/>
      <c r="K236" s="34"/>
    </row>
    <row r="237" spans="1:11" ht="13.9">
      <c r="A237" s="77">
        <v>62</v>
      </c>
      <c r="B237" s="41" t="s">
        <v>618</v>
      </c>
      <c r="C237" s="34" t="s">
        <v>617</v>
      </c>
      <c r="D237" s="135"/>
      <c r="E237" s="34"/>
      <c r="F237" s="53"/>
      <c r="G237" s="53"/>
      <c r="H237" s="53"/>
      <c r="I237" s="53"/>
      <c r="J237" s="34"/>
      <c r="K237" s="34"/>
    </row>
    <row r="238" spans="1:11" ht="13.9">
      <c r="A238" s="77">
        <v>65</v>
      </c>
      <c r="B238" s="41" t="s">
        <v>627</v>
      </c>
      <c r="C238" s="34" t="s">
        <v>626</v>
      </c>
      <c r="D238" s="135"/>
      <c r="E238" s="34"/>
      <c r="F238" s="53"/>
      <c r="G238" s="53"/>
      <c r="H238" s="53"/>
      <c r="I238" s="53"/>
      <c r="J238" s="34"/>
      <c r="K238" s="34"/>
    </row>
    <row r="239" spans="1:11" ht="13.5">
      <c r="A239" s="77">
        <v>67</v>
      </c>
      <c r="B239" s="34" t="s">
        <v>633</v>
      </c>
      <c r="C239" s="34" t="s">
        <v>632</v>
      </c>
      <c r="D239" s="141"/>
      <c r="E239" s="34"/>
      <c r="F239" s="53"/>
      <c r="G239" s="53"/>
      <c r="H239" s="53"/>
      <c r="I239" s="53"/>
      <c r="J239" s="34"/>
      <c r="K239" s="34"/>
    </row>
    <row r="240" spans="1:11" ht="13.9">
      <c r="A240" s="77">
        <v>28</v>
      </c>
      <c r="B240" s="41" t="s">
        <v>520</v>
      </c>
      <c r="C240" s="34" t="s">
        <v>519</v>
      </c>
      <c r="D240" s="135"/>
      <c r="E240" s="34"/>
      <c r="F240" s="53"/>
      <c r="G240" s="53"/>
      <c r="H240" s="53"/>
      <c r="I240" s="53"/>
      <c r="J240" s="34"/>
      <c r="K240" s="34"/>
    </row>
    <row r="241" spans="1:11" ht="13.9">
      <c r="A241" s="77">
        <v>36</v>
      </c>
      <c r="B241" s="41" t="s">
        <v>543</v>
      </c>
      <c r="C241" s="34" t="s">
        <v>542</v>
      </c>
      <c r="D241" s="135"/>
      <c r="E241" s="34"/>
      <c r="F241" s="53"/>
      <c r="G241" s="53"/>
      <c r="H241" s="53"/>
      <c r="I241" s="53"/>
      <c r="J241" s="34"/>
      <c r="K241" s="34"/>
    </row>
    <row r="242" spans="1:11" ht="13.5">
      <c r="A242" s="77">
        <v>73</v>
      </c>
      <c r="B242" s="41" t="s">
        <v>649</v>
      </c>
      <c r="C242" s="34" t="s">
        <v>648</v>
      </c>
      <c r="D242" s="53"/>
      <c r="E242" s="34"/>
      <c r="F242" s="53"/>
      <c r="G242" s="53"/>
      <c r="H242" s="53"/>
      <c r="I242" s="53"/>
      <c r="J242" s="34"/>
      <c r="K242" s="34"/>
    </row>
    <row r="243" spans="1:11" ht="13.9">
      <c r="A243" s="77">
        <v>30</v>
      </c>
      <c r="B243" s="34" t="s">
        <v>525</v>
      </c>
      <c r="C243" s="34" t="s">
        <v>524</v>
      </c>
      <c r="D243" s="135"/>
      <c r="E243" s="34"/>
      <c r="F243" s="53"/>
      <c r="G243" s="53"/>
      <c r="H243" s="53"/>
      <c r="I243" s="53"/>
      <c r="J243" s="34"/>
      <c r="K243" s="34"/>
    </row>
    <row r="244" spans="1:11" ht="13.9">
      <c r="A244" s="77">
        <v>85</v>
      </c>
      <c r="B244" s="41" t="s">
        <v>685</v>
      </c>
      <c r="C244" s="79" t="s">
        <v>684</v>
      </c>
      <c r="D244" s="135"/>
      <c r="E244" s="34"/>
      <c r="F244" s="53"/>
      <c r="G244" s="53"/>
      <c r="H244" s="53"/>
      <c r="I244" s="53"/>
      <c r="J244" s="34"/>
      <c r="K244" s="34"/>
    </row>
    <row r="245" spans="1:11" ht="13.9">
      <c r="A245" s="77">
        <v>11</v>
      </c>
      <c r="B245" s="41" t="s">
        <v>469</v>
      </c>
      <c r="C245" s="34" t="s">
        <v>468</v>
      </c>
      <c r="D245" s="135"/>
      <c r="E245" s="34"/>
      <c r="F245" s="53"/>
      <c r="G245" s="53"/>
      <c r="H245" s="53"/>
      <c r="I245" s="53"/>
      <c r="J245" s="34"/>
      <c r="K245" s="34"/>
    </row>
    <row r="246" spans="1:11" ht="13.9">
      <c r="A246" s="77">
        <v>33</v>
      </c>
      <c r="B246" s="41" t="s">
        <v>534</v>
      </c>
      <c r="C246" s="34" t="s">
        <v>533</v>
      </c>
      <c r="D246" s="135"/>
      <c r="E246" s="34"/>
      <c r="F246" s="53"/>
      <c r="G246" s="53"/>
      <c r="H246" s="53"/>
      <c r="I246" s="53"/>
      <c r="J246" s="34"/>
      <c r="K246" s="34"/>
    </row>
    <row r="247" spans="1:11" ht="13.5">
      <c r="A247" s="77">
        <v>32</v>
      </c>
      <c r="B247" s="41" t="s">
        <v>724</v>
      </c>
      <c r="C247" s="79" t="s">
        <v>530</v>
      </c>
      <c r="D247" s="53"/>
      <c r="E247" s="34"/>
      <c r="F247" s="53"/>
      <c r="G247" s="53"/>
      <c r="H247" s="53"/>
      <c r="I247" s="53"/>
      <c r="J247" s="34"/>
      <c r="K247" s="34"/>
    </row>
    <row r="248" spans="1:11" ht="13.9">
      <c r="A248" s="77">
        <v>31</v>
      </c>
      <c r="B248" s="41" t="s">
        <v>528</v>
      </c>
      <c r="C248" s="79" t="s">
        <v>527</v>
      </c>
      <c r="D248" s="135"/>
      <c r="E248" s="34"/>
      <c r="F248" s="53"/>
      <c r="G248" s="53"/>
      <c r="H248" s="53"/>
      <c r="I248" s="53"/>
      <c r="J248" s="34"/>
      <c r="K248" s="34"/>
    </row>
    <row r="249" spans="1:11" ht="13.9">
      <c r="A249" s="77">
        <v>35</v>
      </c>
      <c r="B249" s="41" t="s">
        <v>540</v>
      </c>
      <c r="C249" s="34" t="s">
        <v>539</v>
      </c>
      <c r="D249" s="135"/>
      <c r="E249" s="34"/>
      <c r="F249" s="53"/>
      <c r="G249" s="53"/>
      <c r="H249" s="53"/>
      <c r="I249" s="53"/>
      <c r="J249" s="34"/>
      <c r="K249" s="34"/>
    </row>
    <row r="250" spans="1:11" ht="13.9">
      <c r="A250" s="77">
        <v>34</v>
      </c>
      <c r="B250" s="41" t="s">
        <v>537</v>
      </c>
      <c r="C250" s="79" t="s">
        <v>536</v>
      </c>
      <c r="D250" s="135"/>
      <c r="E250" s="34"/>
      <c r="F250" s="53"/>
      <c r="G250" s="53"/>
      <c r="H250" s="53"/>
      <c r="I250" s="53"/>
      <c r="J250" s="34"/>
      <c r="K250" s="34"/>
    </row>
    <row r="251" spans="1:11" ht="13.9">
      <c r="A251" s="77">
        <v>78</v>
      </c>
      <c r="B251" s="41" t="s">
        <v>664</v>
      </c>
      <c r="C251" s="34" t="s">
        <v>663</v>
      </c>
      <c r="D251" s="135"/>
      <c r="E251" s="34"/>
      <c r="F251" s="53"/>
      <c r="G251" s="53"/>
      <c r="H251" s="53"/>
      <c r="I251" s="53"/>
      <c r="J251" s="34"/>
      <c r="K251" s="34"/>
    </row>
    <row r="252" spans="1:11" ht="13.9">
      <c r="A252" s="77">
        <v>77</v>
      </c>
      <c r="B252" s="41" t="s">
        <v>661</v>
      </c>
      <c r="C252" s="34" t="s">
        <v>660</v>
      </c>
      <c r="D252" s="135"/>
      <c r="E252" s="34"/>
      <c r="F252" s="53"/>
      <c r="G252" s="53"/>
      <c r="H252" s="53"/>
      <c r="I252" s="53"/>
      <c r="J252" s="34"/>
      <c r="K252" s="34"/>
    </row>
    <row r="253" spans="1:11" ht="13.9">
      <c r="A253" s="77">
        <v>46</v>
      </c>
      <c r="B253" s="41" t="s">
        <v>573</v>
      </c>
      <c r="C253" s="79" t="s">
        <v>572</v>
      </c>
      <c r="D253" s="135"/>
      <c r="E253" s="34"/>
      <c r="F253" s="53"/>
      <c r="G253" s="53"/>
      <c r="H253" s="53"/>
      <c r="I253" s="53"/>
      <c r="J253" s="34"/>
      <c r="K253" s="34"/>
    </row>
    <row r="254" spans="1:11" ht="13.9">
      <c r="A254" s="77">
        <v>70</v>
      </c>
      <c r="B254" s="34" t="s">
        <v>356</v>
      </c>
      <c r="C254" s="34" t="s">
        <v>354</v>
      </c>
      <c r="D254" s="135"/>
      <c r="E254" s="34"/>
      <c r="F254" s="53"/>
      <c r="G254" s="53"/>
      <c r="H254" s="53"/>
      <c r="I254" s="53"/>
      <c r="J254" s="34"/>
      <c r="K254" s="34"/>
    </row>
    <row r="255" spans="1:11" ht="13.9">
      <c r="A255" s="77">
        <v>81</v>
      </c>
      <c r="B255" s="34" t="s">
        <v>673</v>
      </c>
      <c r="C255" s="34" t="s">
        <v>672</v>
      </c>
      <c r="D255" s="135"/>
      <c r="E255" s="34"/>
      <c r="F255" s="53"/>
      <c r="G255" s="53"/>
      <c r="H255" s="53"/>
      <c r="I255" s="53"/>
      <c r="J255" s="34"/>
      <c r="K255" s="34"/>
    </row>
    <row r="256" spans="1:11" ht="13.9">
      <c r="A256" s="77">
        <v>69</v>
      </c>
      <c r="B256" s="34" t="s">
        <v>639</v>
      </c>
      <c r="C256" s="34" t="s">
        <v>638</v>
      </c>
      <c r="D256" s="135"/>
      <c r="E256" s="34"/>
      <c r="F256" s="53"/>
      <c r="G256" s="53"/>
      <c r="H256" s="53"/>
      <c r="I256" s="53"/>
      <c r="J256" s="34"/>
      <c r="K256" s="34"/>
    </row>
    <row r="257" spans="1:11" ht="13.9">
      <c r="A257" s="77">
        <v>68</v>
      </c>
      <c r="B257" s="41" t="s">
        <v>636</v>
      </c>
      <c r="C257" s="34" t="s">
        <v>635</v>
      </c>
      <c r="D257" s="135"/>
      <c r="E257" s="34"/>
      <c r="F257" s="53"/>
      <c r="G257" s="53"/>
      <c r="H257" s="53"/>
      <c r="I257" s="53"/>
      <c r="J257" s="34"/>
      <c r="K257" s="34"/>
    </row>
    <row r="258" spans="1:11" ht="13.9">
      <c r="A258" s="77">
        <v>6</v>
      </c>
      <c r="B258" s="41" t="s">
        <v>454</v>
      </c>
      <c r="C258" s="34" t="s">
        <v>453</v>
      </c>
      <c r="D258" s="135"/>
      <c r="E258" s="34"/>
      <c r="F258" s="53"/>
      <c r="G258" s="53"/>
      <c r="H258" s="53"/>
      <c r="I258" s="53"/>
      <c r="J258" s="34"/>
      <c r="K258" s="34"/>
    </row>
    <row r="259" spans="1:11" ht="13.9">
      <c r="A259" s="77">
        <v>22</v>
      </c>
      <c r="B259" s="41" t="s">
        <v>502</v>
      </c>
      <c r="C259" s="79" t="s">
        <v>501</v>
      </c>
      <c r="D259" s="135"/>
      <c r="E259" s="34"/>
      <c r="F259" s="53"/>
      <c r="G259" s="53"/>
      <c r="H259" s="53"/>
      <c r="I259" s="53"/>
      <c r="J259" s="34"/>
      <c r="K259" s="34"/>
    </row>
    <row r="260" spans="1:11" ht="13.9">
      <c r="A260" s="77">
        <v>66</v>
      </c>
      <c r="B260" s="41" t="s">
        <v>630</v>
      </c>
      <c r="C260" s="79" t="s">
        <v>629</v>
      </c>
      <c r="D260" s="135"/>
      <c r="E260" s="34"/>
      <c r="F260" s="53"/>
      <c r="G260" s="53"/>
      <c r="H260" s="53"/>
      <c r="I260" s="53"/>
      <c r="J260" s="34"/>
      <c r="K260" s="34"/>
    </row>
    <row r="261" spans="1:11" ht="13.9">
      <c r="A261" s="77">
        <v>75</v>
      </c>
      <c r="B261" s="34" t="s">
        <v>655</v>
      </c>
      <c r="C261" s="34" t="s">
        <v>654</v>
      </c>
      <c r="D261" s="135"/>
      <c r="E261" s="34"/>
      <c r="F261" s="53"/>
      <c r="G261" s="53"/>
      <c r="H261" s="53"/>
      <c r="I261" s="53"/>
      <c r="J261" s="34"/>
      <c r="K261" s="34"/>
    </row>
    <row r="262" spans="1:11" ht="13.9">
      <c r="A262" s="77">
        <v>10</v>
      </c>
      <c r="B262" s="41" t="s">
        <v>466</v>
      </c>
      <c r="C262" s="79" t="s">
        <v>465</v>
      </c>
      <c r="D262" s="135"/>
      <c r="E262" s="34"/>
      <c r="F262" s="53"/>
      <c r="G262" s="53"/>
      <c r="H262" s="53"/>
      <c r="I262" s="53"/>
      <c r="J262" s="34"/>
      <c r="K262" s="34"/>
    </row>
    <row r="263" spans="1:11" ht="13.9">
      <c r="A263" s="77">
        <v>84</v>
      </c>
      <c r="B263" s="41" t="s">
        <v>682</v>
      </c>
      <c r="C263" s="79" t="s">
        <v>681</v>
      </c>
      <c r="D263" s="135"/>
      <c r="E263" s="34"/>
      <c r="F263" s="53"/>
      <c r="G263" s="53"/>
      <c r="H263" s="53"/>
      <c r="I263" s="53"/>
      <c r="J263" s="34"/>
      <c r="K263" s="34"/>
    </row>
    <row r="264" spans="1:11" ht="13.9">
      <c r="A264" s="77"/>
      <c r="B264" s="79"/>
      <c r="C264" s="41"/>
      <c r="D264" s="135"/>
      <c r="E264" s="34"/>
      <c r="F264" s="53"/>
      <c r="G264" s="53"/>
      <c r="H264" s="53"/>
      <c r="I264" s="53"/>
      <c r="J264" s="34"/>
      <c r="K264" s="34"/>
    </row>
    <row r="265" spans="1:11" ht="13.9">
      <c r="A265" s="77"/>
      <c r="B265" s="34"/>
      <c r="C265" s="41"/>
      <c r="D265" s="135"/>
      <c r="E265" s="34"/>
      <c r="F265" s="53"/>
      <c r="G265" s="53"/>
      <c r="H265" s="53"/>
      <c r="I265" s="53"/>
      <c r="J265" s="34"/>
      <c r="K265" s="34"/>
    </row>
    <row r="266" spans="1:11" ht="13.9">
      <c r="A266" s="77"/>
      <c r="B266" s="34"/>
      <c r="C266" s="41"/>
      <c r="D266" s="135"/>
      <c r="E266" s="34"/>
      <c r="F266" s="53"/>
      <c r="G266" s="53"/>
      <c r="H266" s="53"/>
      <c r="I266" s="53"/>
      <c r="J266" s="34"/>
      <c r="K266" s="34"/>
    </row>
    <row r="267" spans="1:11" ht="13.9">
      <c r="A267" s="77"/>
      <c r="B267" s="34"/>
      <c r="C267" s="41"/>
      <c r="D267" s="135"/>
      <c r="E267" s="34"/>
      <c r="F267" s="53"/>
      <c r="G267" s="53"/>
      <c r="H267" s="53"/>
      <c r="I267" s="53"/>
      <c r="J267" s="34"/>
      <c r="K267" s="34"/>
    </row>
    <row r="268" spans="1:11" ht="13.9">
      <c r="A268" s="77"/>
      <c r="B268" s="34"/>
      <c r="C268" s="41"/>
      <c r="D268" s="135"/>
      <c r="E268" s="34"/>
      <c r="F268" s="53"/>
      <c r="G268" s="53"/>
      <c r="H268" s="53"/>
      <c r="I268" s="53"/>
      <c r="J268" s="34"/>
      <c r="K268" s="34"/>
    </row>
    <row r="269" spans="1:11" ht="13.9">
      <c r="A269" s="77"/>
      <c r="B269" s="34"/>
      <c r="C269" s="41"/>
      <c r="D269" s="135"/>
      <c r="E269" s="34"/>
      <c r="F269" s="53"/>
      <c r="G269" s="53"/>
      <c r="H269" s="53"/>
      <c r="I269" s="53"/>
      <c r="J269" s="34"/>
      <c r="K269" s="34"/>
    </row>
    <row r="270" spans="1:11" ht="13.9">
      <c r="A270" s="77"/>
      <c r="B270" s="34"/>
      <c r="C270" s="34"/>
      <c r="D270" s="135"/>
      <c r="E270" s="34"/>
      <c r="F270" s="53"/>
      <c r="G270" s="53"/>
      <c r="H270" s="53"/>
      <c r="I270" s="53"/>
      <c r="J270" s="34"/>
      <c r="K270" s="34"/>
    </row>
    <row r="271" spans="1:11" ht="13.9">
      <c r="A271" s="77"/>
      <c r="B271" s="34"/>
      <c r="C271" s="41"/>
      <c r="D271" s="135"/>
      <c r="E271" s="34"/>
      <c r="F271" s="53"/>
      <c r="G271" s="53"/>
      <c r="H271" s="53"/>
      <c r="I271" s="53"/>
      <c r="J271" s="34"/>
      <c r="K271" s="34"/>
    </row>
    <row r="272" spans="1:11" ht="13.9">
      <c r="A272" s="77"/>
      <c r="B272" s="34"/>
      <c r="C272" s="41"/>
      <c r="D272" s="135"/>
      <c r="E272" s="34"/>
      <c r="F272" s="53"/>
      <c r="G272" s="53"/>
      <c r="H272" s="53"/>
      <c r="I272" s="53"/>
      <c r="J272" s="34"/>
      <c r="K272" s="34"/>
    </row>
    <row r="273" spans="1:11" ht="13.9">
      <c r="A273" s="77"/>
      <c r="B273" s="34"/>
      <c r="C273" s="41"/>
      <c r="D273" s="135"/>
      <c r="E273" s="34"/>
      <c r="F273" s="53"/>
      <c r="G273" s="53"/>
      <c r="H273" s="53"/>
      <c r="I273" s="53"/>
      <c r="J273" s="34"/>
      <c r="K273" s="34"/>
    </row>
    <row r="274" spans="1:11" ht="13.9">
      <c r="A274" s="77"/>
      <c r="B274" s="34"/>
      <c r="C274" s="41"/>
      <c r="D274" s="135"/>
      <c r="E274" s="34"/>
      <c r="F274" s="53"/>
      <c r="G274" s="53"/>
      <c r="H274" s="53"/>
      <c r="I274" s="53"/>
      <c r="J274" s="34"/>
      <c r="K274" s="34"/>
    </row>
    <row r="275" spans="1:11" ht="13.9">
      <c r="A275" s="77"/>
      <c r="B275" s="79"/>
      <c r="C275" s="41"/>
      <c r="D275" s="135"/>
      <c r="E275" s="34"/>
      <c r="F275" s="53"/>
      <c r="G275" s="53"/>
      <c r="H275" s="53"/>
      <c r="I275" s="53"/>
      <c r="J275" s="34"/>
      <c r="K275" s="34"/>
    </row>
    <row r="276" spans="1:11" ht="13.9">
      <c r="A276" s="77"/>
      <c r="B276" s="79"/>
      <c r="C276" s="41"/>
      <c r="D276" s="135"/>
      <c r="E276" s="34"/>
      <c r="F276" s="53"/>
      <c r="G276" s="53"/>
      <c r="H276" s="53"/>
      <c r="I276" s="53"/>
      <c r="J276" s="34"/>
      <c r="K276" s="34"/>
    </row>
    <row r="277" spans="1:11" ht="13.9">
      <c r="A277" s="77"/>
      <c r="B277" s="34"/>
      <c r="C277" s="41"/>
      <c r="D277" s="135"/>
      <c r="E277" s="34"/>
      <c r="F277" s="53"/>
      <c r="G277" s="53"/>
      <c r="H277" s="53"/>
      <c r="I277" s="53"/>
      <c r="J277" s="34"/>
      <c r="K277" s="34"/>
    </row>
    <row r="278" spans="1:11" ht="13.9">
      <c r="A278" s="77"/>
      <c r="B278" s="34"/>
      <c r="C278" s="41"/>
      <c r="D278" s="135"/>
      <c r="E278" s="34"/>
      <c r="F278" s="53"/>
      <c r="G278" s="53"/>
      <c r="H278" s="53"/>
      <c r="I278" s="53"/>
      <c r="J278" s="34"/>
      <c r="K278" s="34"/>
    </row>
    <row r="279" spans="1:11" ht="13.9">
      <c r="A279" s="77"/>
      <c r="B279" s="34"/>
      <c r="C279" s="41"/>
      <c r="D279" s="135"/>
      <c r="E279" s="34"/>
      <c r="F279" s="53"/>
      <c r="G279" s="53"/>
      <c r="H279" s="53"/>
      <c r="I279" s="53"/>
      <c r="J279" s="34"/>
      <c r="K279" s="34"/>
    </row>
    <row r="280" spans="1:11" ht="13.9">
      <c r="A280" s="77"/>
      <c r="B280" s="34"/>
      <c r="C280" s="34"/>
      <c r="D280" s="135"/>
      <c r="E280" s="34"/>
      <c r="F280" s="53"/>
      <c r="G280" s="53"/>
      <c r="H280" s="53"/>
      <c r="I280" s="53"/>
      <c r="J280" s="34"/>
      <c r="K280" s="34"/>
    </row>
    <row r="281" spans="1:11" ht="13.9">
      <c r="A281" s="77"/>
      <c r="B281" s="34"/>
      <c r="C281" s="41"/>
      <c r="D281" s="135"/>
      <c r="E281" s="34"/>
      <c r="F281" s="53"/>
      <c r="G281" s="53"/>
      <c r="H281" s="53"/>
      <c r="I281" s="53"/>
      <c r="J281" s="34"/>
      <c r="K281" s="34"/>
    </row>
    <row r="282" spans="1:11" ht="13.9">
      <c r="A282" s="77"/>
      <c r="B282" s="34"/>
      <c r="C282" s="41"/>
      <c r="D282" s="135"/>
      <c r="E282" s="34"/>
      <c r="F282" s="53"/>
      <c r="G282" s="53"/>
      <c r="H282" s="53"/>
      <c r="I282" s="53"/>
      <c r="J282" s="34"/>
      <c r="K282" s="34"/>
    </row>
    <row r="283" spans="1:11" ht="13.9">
      <c r="A283" s="77"/>
      <c r="B283" s="79"/>
      <c r="C283" s="41"/>
      <c r="D283" s="135"/>
      <c r="E283" s="34"/>
      <c r="F283" s="53"/>
      <c r="G283" s="53"/>
      <c r="H283" s="53"/>
      <c r="I283" s="53"/>
      <c r="J283" s="34"/>
      <c r="K283" s="34"/>
    </row>
    <row r="284" spans="1:11" ht="13.9">
      <c r="A284" s="77"/>
      <c r="B284" s="34"/>
      <c r="C284" s="41"/>
      <c r="D284" s="135"/>
      <c r="E284" s="34"/>
      <c r="F284" s="53"/>
      <c r="G284" s="53"/>
      <c r="H284" s="53"/>
      <c r="I284" s="53"/>
      <c r="J284" s="34"/>
      <c r="K284" s="34"/>
    </row>
    <row r="285" spans="1:11" ht="13.9">
      <c r="A285" s="77"/>
      <c r="B285" s="34"/>
      <c r="C285" s="41"/>
      <c r="D285" s="135"/>
      <c r="E285" s="34"/>
      <c r="F285" s="53"/>
      <c r="G285" s="53"/>
      <c r="H285" s="53"/>
      <c r="I285" s="53"/>
      <c r="J285" s="34"/>
      <c r="K285" s="34"/>
    </row>
    <row r="286" spans="1:11" ht="13.9">
      <c r="A286" s="77"/>
      <c r="B286" s="34"/>
      <c r="C286" s="41"/>
      <c r="D286" s="135"/>
      <c r="E286" s="34"/>
      <c r="F286" s="53"/>
      <c r="G286" s="53"/>
      <c r="H286" s="53"/>
      <c r="I286" s="53"/>
      <c r="J286" s="34"/>
      <c r="K286" s="34"/>
    </row>
    <row r="287" spans="1:11" ht="13.9">
      <c r="A287" s="77"/>
      <c r="B287" s="79"/>
      <c r="C287" s="41"/>
      <c r="D287" s="135"/>
      <c r="E287" s="34"/>
      <c r="F287" s="53"/>
      <c r="G287" s="53"/>
      <c r="H287" s="53"/>
      <c r="I287" s="53"/>
      <c r="J287" s="34"/>
      <c r="K287" s="34"/>
    </row>
    <row r="288" spans="1:11" ht="13.9">
      <c r="A288" s="77"/>
      <c r="B288" s="79"/>
      <c r="C288" s="41"/>
      <c r="D288" s="135"/>
      <c r="E288" s="34"/>
      <c r="F288" s="53"/>
      <c r="G288" s="53"/>
      <c r="H288" s="53"/>
      <c r="I288" s="53"/>
      <c r="J288" s="34"/>
      <c r="K288" s="34"/>
    </row>
    <row r="289" spans="1:11" ht="13.9">
      <c r="A289" s="77"/>
      <c r="B289" s="79"/>
      <c r="C289" s="41"/>
      <c r="D289" s="135"/>
      <c r="E289" s="34"/>
      <c r="F289" s="53"/>
      <c r="G289" s="53"/>
      <c r="H289" s="53"/>
      <c r="I289" s="53"/>
      <c r="J289" s="34"/>
      <c r="K289" s="34"/>
    </row>
    <row r="290" spans="1:11" ht="13.9">
      <c r="A290" s="77"/>
      <c r="B290" s="79"/>
      <c r="C290" s="41"/>
      <c r="D290" s="135"/>
      <c r="E290" s="34"/>
      <c r="F290" s="53"/>
      <c r="G290" s="53"/>
      <c r="H290" s="53"/>
      <c r="I290" s="53"/>
      <c r="J290" s="34"/>
      <c r="K290" s="34"/>
    </row>
    <row r="291" spans="1:11" ht="13.9">
      <c r="A291" s="77"/>
      <c r="B291" s="34"/>
      <c r="C291" s="41"/>
      <c r="D291" s="135"/>
      <c r="E291" s="34"/>
      <c r="F291" s="53"/>
      <c r="G291" s="53"/>
      <c r="H291" s="53"/>
      <c r="I291" s="53"/>
      <c r="J291" s="34"/>
      <c r="K291" s="34"/>
    </row>
    <row r="292" spans="1:11" ht="13.9">
      <c r="A292" s="77"/>
      <c r="B292" s="79"/>
      <c r="C292" s="41"/>
      <c r="D292" s="135"/>
      <c r="E292" s="34"/>
      <c r="F292" s="53"/>
      <c r="G292" s="53"/>
      <c r="H292" s="53"/>
      <c r="I292" s="53"/>
      <c r="J292" s="34"/>
      <c r="K292" s="34"/>
    </row>
    <row r="293" spans="1:11" ht="13.9">
      <c r="A293" s="77"/>
      <c r="B293" s="34"/>
      <c r="C293" s="41"/>
      <c r="D293" s="135"/>
      <c r="E293" s="34"/>
      <c r="F293" s="53"/>
      <c r="G293" s="53"/>
      <c r="H293" s="53"/>
      <c r="I293" s="53"/>
      <c r="J293" s="34"/>
      <c r="K293" s="34"/>
    </row>
    <row r="294" spans="1:11" ht="13.9">
      <c r="A294" s="77"/>
      <c r="B294" s="34"/>
      <c r="C294" s="41"/>
      <c r="D294" s="135"/>
      <c r="E294" s="34"/>
      <c r="F294" s="53"/>
      <c r="G294" s="53"/>
      <c r="H294" s="53"/>
      <c r="I294" s="53"/>
      <c r="J294" s="34"/>
      <c r="K294" s="34"/>
    </row>
    <row r="295" spans="1:11" ht="13.9">
      <c r="A295" s="77"/>
      <c r="B295" s="79"/>
      <c r="C295" s="41"/>
      <c r="D295" s="135"/>
      <c r="E295" s="34"/>
      <c r="F295" s="53"/>
      <c r="G295" s="53"/>
      <c r="H295" s="53"/>
      <c r="I295" s="53"/>
      <c r="J295" s="34"/>
      <c r="K295" s="34"/>
    </row>
    <row r="296" spans="1:11" ht="13.9">
      <c r="A296" s="77"/>
      <c r="B296" s="34"/>
      <c r="C296" s="34"/>
      <c r="D296" s="135"/>
      <c r="E296" s="34"/>
      <c r="F296" s="53"/>
      <c r="G296" s="53"/>
      <c r="H296" s="53"/>
      <c r="I296" s="53"/>
      <c r="J296" s="34"/>
      <c r="K296" s="34"/>
    </row>
    <row r="297" spans="1:11" ht="13.9">
      <c r="A297" s="77"/>
      <c r="B297" s="34"/>
      <c r="C297" s="34"/>
      <c r="D297" s="135"/>
      <c r="E297" s="34"/>
      <c r="F297" s="53"/>
      <c r="G297" s="53"/>
      <c r="H297" s="53"/>
      <c r="I297" s="53"/>
      <c r="J297" s="34"/>
      <c r="K297" s="34"/>
    </row>
    <row r="298" spans="1:11" ht="13.9">
      <c r="A298" s="77"/>
      <c r="B298" s="34"/>
      <c r="C298" s="34"/>
      <c r="D298" s="135"/>
      <c r="E298" s="34"/>
      <c r="F298" s="53"/>
      <c r="G298" s="53"/>
      <c r="H298" s="53"/>
      <c r="I298" s="53"/>
      <c r="J298" s="34"/>
      <c r="K298" s="34"/>
    </row>
    <row r="299" spans="1:11" ht="13.9">
      <c r="A299" s="77"/>
      <c r="B299" s="34"/>
      <c r="C299" s="41"/>
      <c r="D299" s="135"/>
      <c r="E299" s="34"/>
      <c r="F299" s="53"/>
      <c r="G299" s="53"/>
      <c r="H299" s="53"/>
      <c r="I299" s="53"/>
      <c r="J299" s="34"/>
      <c r="K299" s="34"/>
    </row>
    <row r="300" spans="1:11" ht="13.9">
      <c r="A300" s="77"/>
      <c r="B300" s="34"/>
      <c r="C300" s="41"/>
      <c r="D300" s="135"/>
      <c r="E300" s="53"/>
      <c r="F300" s="53"/>
      <c r="G300" s="53"/>
      <c r="H300" s="53"/>
      <c r="I300" s="53"/>
      <c r="J300" s="34"/>
      <c r="K300" s="34"/>
    </row>
    <row r="301" spans="1:11" ht="13.9">
      <c r="A301" s="77"/>
      <c r="B301" s="79"/>
      <c r="C301" s="41"/>
      <c r="D301" s="135"/>
      <c r="E301" s="53"/>
      <c r="F301" s="53"/>
      <c r="G301" s="53"/>
      <c r="H301" s="53"/>
      <c r="I301" s="53"/>
      <c r="J301" s="34"/>
      <c r="K301" s="34"/>
    </row>
    <row r="302" spans="1:11" ht="13.9">
      <c r="A302" s="77"/>
      <c r="B302" s="79"/>
      <c r="C302" s="41"/>
      <c r="D302" s="135"/>
      <c r="E302" s="53"/>
      <c r="F302" s="53"/>
      <c r="G302" s="53"/>
      <c r="H302" s="53"/>
      <c r="I302" s="53"/>
    </row>
    <row r="303" spans="1:11" ht="13.9">
      <c r="A303" s="77"/>
      <c r="B303" s="34"/>
      <c r="C303" s="34"/>
      <c r="D303" s="135"/>
      <c r="E303" s="34"/>
      <c r="F303" s="53"/>
      <c r="G303" s="53"/>
      <c r="H303" s="53"/>
      <c r="I303" s="53"/>
    </row>
    <row r="304" spans="1:11" ht="13.9">
      <c r="A304" s="77"/>
      <c r="B304" s="79"/>
      <c r="C304" s="41"/>
      <c r="D304" s="135"/>
      <c r="E304" s="34"/>
      <c r="F304" s="53"/>
      <c r="G304" s="53"/>
      <c r="H304" s="53"/>
      <c r="I304" s="53"/>
    </row>
    <row r="305" spans="1:9" ht="13.9">
      <c r="A305" s="77"/>
      <c r="B305" s="79"/>
      <c r="C305" s="41"/>
      <c r="D305" s="135"/>
      <c r="E305" s="34"/>
      <c r="F305" s="53"/>
      <c r="G305" s="53"/>
      <c r="H305" s="53"/>
      <c r="I305" s="53"/>
    </row>
  </sheetData>
  <mergeCells count="8">
    <mergeCell ref="B1:C1"/>
    <mergeCell ref="J2:K2"/>
    <mergeCell ref="J3:K3"/>
    <mergeCell ref="J4:K4"/>
    <mergeCell ref="E76:F76"/>
    <mergeCell ref="H2:I2"/>
    <mergeCell ref="H3:I3"/>
    <mergeCell ref="H4:I4"/>
  </mergeCells>
  <phoneticPr fontId="20" type="noConversion"/>
  <dataValidations count="3">
    <dataValidation type="list" allowBlank="1" showInputMessage="1" showErrorMessage="1" sqref="L77:L162" xr:uid="{DDFFEE90-6D72-489C-897D-87BE89F59867}">
      <formula1>$O$12:$O$13</formula1>
    </dataValidation>
    <dataValidation type="list" allowBlank="1" showInputMessage="1" showErrorMessage="1" sqref="I174:I176" xr:uid="{52A31922-A9B8-407B-AB8C-05F3DB2E0DD8}">
      <formula1>Methode</formula1>
    </dataValidation>
    <dataValidation type="list" allowBlank="1" showInputMessage="1" showErrorMessage="1" sqref="K12" xr:uid="{87037ECA-744C-4756-8F0A-887C1CF2728D}">
      <formula1>X</formula1>
    </dataValidation>
  </dataValidations>
  <pageMargins left="0.70866141732283472" right="0.70866141732283472" top="0.78740157480314965" bottom="0.78740157480314965" header="0.31496062992125984" footer="0.31496062992125984"/>
  <pageSetup paperSize="9" scale="85" orientation="portrait" verticalDpi="598"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255066ceaf746d08db32ab13a36bf1d xmlns="e78182c7-8d57-43a5-9055-46f38d18b80c">
      <Terms xmlns="http://schemas.microsoft.com/office/infopath/2007/PartnerControls"/>
    </e255066ceaf746d08db32ab13a36bf1d>
    <_Flow_SignoffStatus xmlns="e78182c7-8d57-43a5-9055-46f38d18b80c" xsi:nil="true"/>
    <TaxCatchAll xmlns="35ebbd20-aa89-442a-8624-72f0b1fee5dd"/>
    <Datum xmlns="e78182c7-8d57-43a5-9055-46f38d18b8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1792C2966640346916D1CD2EA9CA183" ma:contentTypeVersion="20" ma:contentTypeDescription="Ein neues Dokument erstellen." ma:contentTypeScope="" ma:versionID="156ff8b9500bd9c6d808ce97d859d292">
  <xsd:schema xmlns:xsd="http://www.w3.org/2001/XMLSchema" xmlns:xs="http://www.w3.org/2001/XMLSchema" xmlns:p="http://schemas.microsoft.com/office/2006/metadata/properties" xmlns:ns2="e78182c7-8d57-43a5-9055-46f38d18b80c" xmlns:ns3="35ebbd20-aa89-442a-8624-72f0b1fee5dd" targetNamespace="http://schemas.microsoft.com/office/2006/metadata/properties" ma:root="true" ma:fieldsID="4b20c895f7b3d65ad3a659648f406c8e" ns2:_="" ns3:_="">
    <xsd:import namespace="e78182c7-8d57-43a5-9055-46f38d18b80c"/>
    <xsd:import namespace="35ebbd20-aa89-442a-8624-72f0b1fee5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Datum" minOccurs="0"/>
                <xsd:element ref="ns2:_Flow_SignoffStatus" minOccurs="0"/>
                <xsd:element ref="ns2:e255066ceaf746d08db32ab13a36bf1d"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182c7-8d57-43a5-9055-46f38d18b8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description=""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um" ma:index="20" nillable="true" ma:displayName="Datum" ma:format="DateOnly" ma:internalName="Datum">
      <xsd:simpleType>
        <xsd:restriction base="dms:DateTime"/>
      </xsd:simpleType>
    </xsd:element>
    <xsd:element name="_Flow_SignoffStatus" ma:index="21" nillable="true" ma:displayName="Status Unterschrift" ma:internalName="Status_x0020_Unterschrift">
      <xsd:simpleType>
        <xsd:restriction base="dms:Text"/>
      </xsd:simpleType>
    </xsd:element>
    <xsd:element name="e255066ceaf746d08db32ab13a36bf1d" ma:index="23" nillable="true" ma:taxonomy="true" ma:internalName="e255066ceaf746d08db32ab13a36bf1d" ma:taxonomyFieldName="Dokumentenart" ma:displayName="Dokumentenart" ma:readOnly="false" ma:default="" ma:fieldId="{e255066c-eaf7-46d0-8db3-2ab13a36bf1d}" ma:sspId="776a2577-bd60-471b-8271-66e9c68d74f2" ma:termSetId="8e026a25-689d-4c47-a990-04677f39a882" ma:anchorId="00000000-0000-0000-0000-000000000000" ma:open="true" ma:isKeyword="false">
      <xsd:complexType>
        <xsd:sequence>
          <xsd:element ref="pc:Terms" minOccurs="0" maxOccurs="1"/>
        </xsd:sequence>
      </xsd:complex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ebbd20-aa89-442a-8624-72f0b1fee5d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7cd2958a-3496-4ecc-a797-e0d4c10795c5}" ma:internalName="TaxCatchAll" ma:showField="CatchAllData" ma:web="35ebbd20-aa89-442a-8624-72f0b1fee5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A3510E-5CB7-4A82-9895-816F49DEBD51}">
  <ds:schemaRefs>
    <ds:schemaRef ds:uri="http://schemas.microsoft.com/office/2006/documentManagement/types"/>
    <ds:schemaRef ds:uri="35ebbd20-aa89-442a-8624-72f0b1fee5dd"/>
    <ds:schemaRef ds:uri="http://purl.org/dc/elements/1.1/"/>
    <ds:schemaRef ds:uri="e78182c7-8d57-43a5-9055-46f38d18b80c"/>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782307E-E618-4DAB-ACCD-0267C1F4E6EB}">
  <ds:schemaRefs>
    <ds:schemaRef ds:uri="http://schemas.microsoft.com/sharepoint/v3/contenttype/forms"/>
  </ds:schemaRefs>
</ds:datastoreItem>
</file>

<file path=customXml/itemProps3.xml><?xml version="1.0" encoding="utf-8"?>
<ds:datastoreItem xmlns:ds="http://schemas.openxmlformats.org/officeDocument/2006/customXml" ds:itemID="{CFAA7273-5B2E-4F64-A3D0-B2B90D6C52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182c7-8d57-43a5-9055-46f38d18b80c"/>
    <ds:schemaRef ds:uri="35ebbd20-aa89-442a-8624-72f0b1fee5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Deckblatt-Cover sheet</vt:lpstr>
      <vt:lpstr>Maßbericht-Dimension report</vt:lpstr>
      <vt:lpstr>Überprüfung-Review fischer</vt:lpstr>
      <vt:lpstr>Zeichnung-Drawing</vt:lpstr>
      <vt:lpstr>Information</vt:lpstr>
      <vt:lpstr>Katalog-Catalogue</vt:lpstr>
      <vt:lpstr>'Deckblatt-Cover sheet'!Druckbereich</vt:lpstr>
      <vt:lpstr>GR</vt:lpstr>
      <vt:lpstr>Methode</vt:lpstr>
      <vt:lpstr>Pruefer</vt:lpstr>
      <vt:lpstr>SAP_PLM</vt:lpstr>
      <vt:lpstr>Sprache</vt:lpstr>
      <vt:lpstr>Sprachen</vt:lpstr>
      <vt:lpstr>Token</vt:lpstr>
      <vt:lpstr>translation</vt:lpstr>
      <vt:lpstr>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Gade, Steffi</dc:creator>
  <cp:keywords/>
  <dc:description/>
  <cp:lastModifiedBy>Hattler, Dominique</cp:lastModifiedBy>
  <cp:revision/>
  <dcterms:created xsi:type="dcterms:W3CDTF">2021-04-21T09:49:59Z</dcterms:created>
  <dcterms:modified xsi:type="dcterms:W3CDTF">2021-12-02T11:20:16Z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0x01010041792C2966640346916D1CD2EA9CA183</vt:lpwstr>
  </property>
  <property fmtid="{D5CDD505-2E9C-101B-9397-08002B2CF9AE}" pid="3" name="Dokumentenart">
    <vt:lpwstr/>
  </property>
  <property fmtid="{D5CDD505-2E9C-101B-9397-08002B2CF9AE}" pid="4" name="BExAnalyzer_OldName">
    <vt:lpwstr>首样报告测试模板-NEW20210926.xlsx</vt:lpwstr>
  </property>
</Properties>
</file>